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Kh1fCT2/stwV75CWf6TjTTMI05d6oerY2gfakV3NwyHgFRG6dNnJGatDIAqz4ZdrvukjgCTWYgyerdPyru11g==" workbookSaltValue="STn3M5rqS46QsxbobH4d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P17"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M16" i="11"/>
  <c r="S13" i="16"/>
  <c r="H18" i="16"/>
  <c r="BN18" i="16"/>
  <c r="P13" i="16"/>
  <c r="AM13" i="20"/>
  <c r="AN13" i="20"/>
  <c r="AT17" i="20"/>
  <c r="Z13" i="17"/>
  <c r="N13" i="2"/>
  <c r="T13" i="12"/>
  <c r="AP10" i="21"/>
  <c r="BL11" i="11"/>
  <c r="BW16" i="20"/>
  <c r="AA17" i="16"/>
  <c r="BL10" i="11"/>
  <c r="BH12" i="16"/>
  <c r="T13" i="20"/>
  <c r="BG12" i="8"/>
  <c r="BD9" i="8"/>
  <c r="L17" i="2"/>
  <c r="T13" i="16"/>
  <c r="AP13" i="16"/>
  <c r="F15" i="16"/>
  <c r="BL15" i="16" s="1"/>
  <c r="T18" i="17"/>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AM19" i="8" l="1"/>
  <c r="AC19" i="8"/>
  <c r="AK19" i="8"/>
  <c r="AA19" i="8"/>
  <c r="AI19" i="8"/>
  <c r="C12" i="14"/>
  <c r="K12" i="14" s="1"/>
  <c r="BE12" i="8"/>
  <c r="R19" i="8"/>
  <c r="T19" i="8"/>
  <c r="BG10" i="8"/>
  <c r="H9" i="7"/>
  <c r="BH11" i="11"/>
  <c r="S15" i="16"/>
  <c r="BV10" i="16"/>
  <c r="BU15" i="17"/>
  <c r="BJ11" i="11"/>
  <c r="BF10" i="11"/>
  <c r="F17" i="17"/>
  <c r="AQ17" i="17" s="1"/>
  <c r="E12" i="6"/>
  <c r="V10" i="16"/>
  <c r="S17" i="17"/>
  <c r="BJ10" i="11"/>
  <c r="BF12" i="11"/>
  <c r="X15" i="17"/>
  <c r="BU16" i="17"/>
  <c r="BW15" i="20"/>
  <c r="BW17" i="20"/>
  <c r="BM15" i="11"/>
  <c r="BI17" i="11"/>
  <c r="BH9" i="11"/>
  <c r="BK15" i="11"/>
  <c r="BL17" i="11"/>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X12" i="21"/>
  <c r="BF11" i="11"/>
  <c r="BL9" i="11"/>
  <c r="BG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<sst xmlns="http://schemas.openxmlformats.org/spreadsheetml/2006/main" count="2094" uniqueCount="913">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</sst>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2iewgaReOv/CoSHqA+HT7gSz6IszoMZdPR8KMiFrH+vwbl0ruOKTT97NvXlArPqpOydz6eXopYdHTlHuYdsLg==" saltValue="WERq9+k4LYSKlDauG8Xa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3</v>
      </c>
      <c r="F10" s="229">
        <f>IF(ISNUMBER(Datos!K10),Datos!K10," - ")</f>
        <v>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12.38655462184874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95</v>
      </c>
      <c r="D16" s="228">
        <f>IF(ISNUMBER(IF(D_I="SI",Datos!I16,Datos!I16+Datos!AC16)),IF(D_I="SI",Datos!I16,Datos!I16+Datos!AC16)," - ")</f>
        <v>95</v>
      </c>
      <c r="E16" s="229">
        <f>IF(ISNUMBER(IF(D_I="SI",Datos!J16,Datos!J16+Datos!AD16)),IF(D_I="SI",Datos!J16,Datos!J16+Datos!AD16)," - ")</f>
        <v>116</v>
      </c>
      <c r="F16" s="229">
        <f>IF(ISNUMBER(IF(D_I="SI",Datos!K16,Datos!K16+Datos!AE16)),IF(D_I="SI",Datos!K16,Datos!K16+Datos!AE16)," - ")</f>
        <v>128</v>
      </c>
      <c r="G16" s="1037" t="str">
        <f>IF(Datos!E16&lt;&gt;"",Datos!E16,Datos!D16)</f>
        <v>04</v>
      </c>
      <c r="H16" s="230">
        <f>IF(ISNUMBER(IF(D_I="SI",Datos!L16,Datos!L16+Datos!AF16)),IF(D_I="SI",Datos!L16,Datos!L16+Datos!AF16)," - ")</f>
        <v>83</v>
      </c>
      <c r="I16" s="1047" t="str">
        <f>IF(ISNUMBER(Datos!AS16/Datos!BM16),Datos!AS16/Datos!BM16," - ")</f>
        <v xml:space="preserve"> - </v>
      </c>
      <c r="J16" s="1048">
        <f>IF(ISNUMBER(Datos!BY16/Datos!CN16),Datos!BY16/Datos!CN16," - ")</f>
        <v>0</v>
      </c>
      <c r="K16" s="233">
        <f t="shared" si="3"/>
        <v>-0.12631578947368421</v>
      </c>
      <c r="L16" s="1028">
        <f>IF(ISNUMBER(NºAsuntos!I16/NºAsuntos!G16),(NºAsuntos!I16/NºAsuntos!G16)*11," - ")</f>
        <v>7.1328125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v>
      </c>
      <c r="D17" s="228">
        <f>IF(ISNUMBER(IF(D_I="SI",Datos!I17,Datos!I17+Datos!AC17)),IF(D_I="SI",Datos!I17,Datos!I17+Datos!AC17)," - ")</f>
        <v>9</v>
      </c>
      <c r="E17" s="229">
        <f>IF(ISNUMBER(IF(D_I="SI",Datos!J17,Datos!J17+Datos!AD17)),IF(D_I="SI",Datos!J17,Datos!J17+Datos!AD17)," - ")</f>
        <v>12</v>
      </c>
      <c r="F17" s="229">
        <f>IF(ISNUMBER(IF(D_I="SI",Datos!K17,Datos!K17+Datos!AE17)),IF(D_I="SI",Datos!K17,Datos!K17+Datos!AE17)," - ")</f>
        <v>12</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8.25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104</v>
      </c>
      <c r="D18" s="1052">
        <f>SUBTOTAL(9,D15:D17)</f>
        <v>104</v>
      </c>
      <c r="E18" s="1053">
        <f>SUBTOTAL(9,E15:E17)</f>
        <v>128</v>
      </c>
      <c r="F18" s="1053">
        <f>SUBTOTAL(9,F15:F17)</f>
        <v>140</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108</v>
      </c>
      <c r="D19" s="1074">
        <f>SUBTOTAL(9,D9:D18)</f>
        <v>108</v>
      </c>
      <c r="E19" s="1075">
        <f>SUBTOTAL(9,E9:E18)</f>
        <v>131</v>
      </c>
      <c r="F19" s="1075">
        <f>SUBTOTAL(9,F9:F18)</f>
        <v>142</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l5z6QzeQkgqitaz/2W/o5bg7BKStZZVbqzmjMxNwlAMHmN1v34ANLDkliGMnhNGGX8aNKEUbIFgpmMBm6H/3Q==" saltValue="6MAvNTA8xuIKDtJED5p2e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ARF4+XhO+ifPlFLMrswiurinIiuhuwYk7m5ntH8FnZGLchJNgpzd+Hua0iTwF/NpC2lSsfkleLGAgwCIg/yUA==" saltValue="Vee320MchbwguTwJVYxZ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3</v>
      </c>
      <c r="K10" s="184">
        <v>2</v>
      </c>
      <c r="L10" s="184">
        <v>5</v>
      </c>
      <c r="M10" s="184">
        <v>2</v>
      </c>
      <c r="N10" s="184">
        <v>0</v>
      </c>
      <c r="O10" s="184">
        <v>0</v>
      </c>
      <c r="P10" s="184">
        <v>2</v>
      </c>
      <c r="Q10" s="184">
        <v>2</v>
      </c>
      <c r="R10" s="184">
        <v>5</v>
      </c>
      <c r="S10" s="184">
        <v>5</v>
      </c>
      <c r="T10" s="184">
        <v>1</v>
      </c>
      <c r="U10" s="184">
        <v>1</v>
      </c>
      <c r="V10" s="184">
        <v>5</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9">
        <f>IF(ISNUMBER((AY10+AZ10)/BA10),(AY10+AZ10)/BA10," - ")</f>
        <v>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393</v>
      </c>
      <c r="J12" s="186">
        <v>321</v>
      </c>
      <c r="K12" s="186">
        <v>317</v>
      </c>
      <c r="L12" s="186">
        <v>388</v>
      </c>
      <c r="M12" s="186">
        <v>112</v>
      </c>
      <c r="N12" s="186">
        <v>94</v>
      </c>
      <c r="O12" s="184">
        <v>108</v>
      </c>
      <c r="P12" s="186">
        <v>56</v>
      </c>
      <c r="Q12" s="186">
        <v>64</v>
      </c>
      <c r="R12" s="186">
        <v>847</v>
      </c>
      <c r="S12" s="186">
        <v>278</v>
      </c>
      <c r="T12" s="186">
        <v>321</v>
      </c>
      <c r="U12" s="186">
        <v>233</v>
      </c>
      <c r="V12" s="186">
        <v>347</v>
      </c>
      <c r="W12" s="186">
        <v>86</v>
      </c>
      <c r="X12" s="192">
        <v>83</v>
      </c>
      <c r="Y12" s="194">
        <v>18</v>
      </c>
      <c r="Z12" s="184">
        <v>36</v>
      </c>
      <c r="AA12" s="184">
        <v>40</v>
      </c>
      <c r="AB12" s="184">
        <v>14</v>
      </c>
      <c r="AC12" s="186">
        <v>0</v>
      </c>
      <c r="AD12" s="186">
        <v>0</v>
      </c>
      <c r="AE12" s="186">
        <v>0</v>
      </c>
      <c r="AF12" s="192">
        <v>0</v>
      </c>
      <c r="AG12" s="205">
        <v>23</v>
      </c>
      <c r="AH12" s="186">
        <v>31</v>
      </c>
      <c r="AI12" s="186">
        <v>33</v>
      </c>
      <c r="AJ12" s="206">
        <v>14</v>
      </c>
      <c r="AK12" s="185">
        <v>0</v>
      </c>
      <c r="AL12" s="186">
        <v>0</v>
      </c>
      <c r="AM12" s="186">
        <v>0</v>
      </c>
      <c r="AN12" s="192">
        <v>0</v>
      </c>
      <c r="AO12" s="262">
        <v>2</v>
      </c>
      <c r="AP12" s="158">
        <v>2</v>
      </c>
      <c r="AQ12" s="158">
        <v>2</v>
      </c>
      <c r="AR12" s="157">
        <v>2</v>
      </c>
      <c r="AS12" s="343" t="s">
        <v>807</v>
      </c>
      <c r="AT12" s="206"/>
      <c r="AU12" s="205"/>
      <c r="AV12" s="206"/>
      <c r="AW12" s="205"/>
      <c r="AX12" s="206"/>
      <c r="AY12" s="126">
        <f t="shared" si="1"/>
        <v>301</v>
      </c>
      <c r="AZ12" s="127">
        <f t="shared" si="1"/>
        <v>352</v>
      </c>
      <c r="BA12" s="127">
        <f t="shared" si="1"/>
        <v>266</v>
      </c>
      <c r="BB12" s="127">
        <f t="shared" si="1"/>
        <v>361</v>
      </c>
      <c r="BC12" s="125">
        <f>IF(ISNUMBER(X12),X12," - ")</f>
        <v>83</v>
      </c>
      <c r="BD12" s="126">
        <f t="shared" si="2"/>
        <v>0.75568181818181823</v>
      </c>
      <c r="BE12" s="127">
        <f t="shared" si="3"/>
        <v>1.3571428571428572</v>
      </c>
      <c r="BF12" s="127">
        <f t="shared" si="4"/>
        <v>0.31203007518796994</v>
      </c>
      <c r="BG12" s="199">
        <f t="shared" si="5"/>
        <v>2.4548872180451129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397</v>
      </c>
      <c r="J13" s="187">
        <f t="shared" si="6"/>
        <v>324</v>
      </c>
      <c r="K13" s="187">
        <f t="shared" si="6"/>
        <v>319</v>
      </c>
      <c r="L13" s="187">
        <f t="shared" si="6"/>
        <v>393</v>
      </c>
      <c r="M13" s="187">
        <f t="shared" si="6"/>
        <v>114</v>
      </c>
      <c r="N13" s="187">
        <f t="shared" si="6"/>
        <v>94</v>
      </c>
      <c r="O13" s="187">
        <f t="shared" si="6"/>
        <v>108</v>
      </c>
      <c r="P13" s="187">
        <f t="shared" si="6"/>
        <v>58</v>
      </c>
      <c r="Q13" s="187">
        <f t="shared" si="6"/>
        <v>66</v>
      </c>
      <c r="R13" s="187">
        <f t="shared" si="6"/>
        <v>852</v>
      </c>
      <c r="S13" s="187">
        <f t="shared" si="6"/>
        <v>283</v>
      </c>
      <c r="T13" s="187">
        <f t="shared" si="6"/>
        <v>322</v>
      </c>
      <c r="U13" s="187">
        <f t="shared" si="6"/>
        <v>234</v>
      </c>
      <c r="V13" s="187">
        <f t="shared" si="6"/>
        <v>352</v>
      </c>
      <c r="W13" s="187">
        <f t="shared" si="6"/>
        <v>87</v>
      </c>
      <c r="X13" s="187">
        <f t="shared" si="6"/>
        <v>83</v>
      </c>
      <c r="Y13" s="187">
        <f t="shared" si="6"/>
        <v>18</v>
      </c>
      <c r="Z13" s="187">
        <f t="shared" si="6"/>
        <v>36</v>
      </c>
      <c r="AA13" s="187">
        <f t="shared" si="6"/>
        <v>40</v>
      </c>
      <c r="AB13" s="187">
        <f t="shared" si="6"/>
        <v>14</v>
      </c>
      <c r="AC13" s="187">
        <f t="shared" si="6"/>
        <v>0</v>
      </c>
      <c r="AD13" s="187">
        <f t="shared" si="6"/>
        <v>0</v>
      </c>
      <c r="AE13" s="187">
        <f t="shared" si="6"/>
        <v>0</v>
      </c>
      <c r="AF13" s="187">
        <f>SUBTOTAL(9,AF9:AF12)</f>
        <v>0</v>
      </c>
      <c r="AG13" s="187">
        <f t="shared" ref="AG13:AT13" si="7">SUBTOTAL(9,AG8:AG12)</f>
        <v>23</v>
      </c>
      <c r="AH13" s="187">
        <f t="shared" si="7"/>
        <v>31</v>
      </c>
      <c r="AI13" s="187">
        <f t="shared" si="7"/>
        <v>33</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306</v>
      </c>
      <c r="AZ13" s="187">
        <f>SUBTOTAL(9,AZ8:AZ12)</f>
        <v>353</v>
      </c>
      <c r="BA13" s="187">
        <f>SUBTOTAL(9,BA8:BA12)</f>
        <v>267</v>
      </c>
      <c r="BB13" s="187">
        <f>SUBTOTAL(9,BB8:BB12)</f>
        <v>366</v>
      </c>
      <c r="BC13" s="187">
        <f>SUBTOTAL(9,BC8:BC12)</f>
        <v>84</v>
      </c>
      <c r="BD13" s="208">
        <f>IF(ISNUMBER(BA13/AZ13),BA13/AZ13," - ")</f>
        <v>0.75637393767705385</v>
      </c>
      <c r="BE13" s="209">
        <f>IF(ISNUMBER(BB13/BA13),BB13/BA13, " - ")</f>
        <v>1.3707865168539326</v>
      </c>
      <c r="BF13" s="209">
        <f>IF(ISNUMBER(BC13/BA13),BC13/BA13, " - ")</f>
        <v>0.3146067415730337</v>
      </c>
      <c r="BG13" s="210">
        <f>IF(ISNUMBER((AY13+AZ13)/BA13),(AY13+AZ13)/BA13," - ")</f>
        <v>2.4681647940074907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95</v>
      </c>
      <c r="J16" s="186">
        <v>116</v>
      </c>
      <c r="K16" s="186">
        <v>128</v>
      </c>
      <c r="L16" s="186">
        <v>83</v>
      </c>
      <c r="M16" s="186">
        <v>19</v>
      </c>
      <c r="N16" s="186">
        <v>87</v>
      </c>
      <c r="O16" s="184">
        <v>1</v>
      </c>
      <c r="P16" s="186">
        <v>6</v>
      </c>
      <c r="Q16" s="186">
        <v>3</v>
      </c>
      <c r="R16" s="186">
        <v>15</v>
      </c>
      <c r="S16" s="186">
        <v>105</v>
      </c>
      <c r="T16" s="186">
        <v>143</v>
      </c>
      <c r="U16" s="186">
        <v>152</v>
      </c>
      <c r="V16" s="186">
        <v>96</v>
      </c>
      <c r="W16" s="186">
        <v>37</v>
      </c>
      <c r="X16" s="192">
        <v>88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105</v>
      </c>
      <c r="AZ16" s="127">
        <f t="shared" si="9"/>
        <v>143</v>
      </c>
      <c r="BA16" s="127">
        <f t="shared" si="9"/>
        <v>152</v>
      </c>
      <c r="BB16" s="127">
        <f t="shared" si="9"/>
        <v>96</v>
      </c>
      <c r="BC16" s="125">
        <f>IF(ISNUMBER(W16),W16," - ")</f>
        <v>37</v>
      </c>
      <c r="BD16" s="126">
        <f t="shared" ref="BD16" si="11">IF(ISNUMBER(BA16/AZ16),BA16/AZ16," - ")</f>
        <v>1.0629370629370629</v>
      </c>
      <c r="BE16" s="127">
        <f t="shared" ref="BE16" si="12">IF(ISNUMBER(BB16/BA16),BB16/BA16, " - ")</f>
        <v>0.63157894736842102</v>
      </c>
      <c r="BF16" s="127">
        <f t="shared" ref="BF16" si="13">IF(ISNUMBER(BC16/BA16),BC16/BA16, " - ")</f>
        <v>0.24342105263157895</v>
      </c>
      <c r="BG16" s="199">
        <f t="shared" si="10"/>
        <v>1.631578947368421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v>
      </c>
      <c r="J17" s="186">
        <v>12</v>
      </c>
      <c r="K17" s="186">
        <v>12</v>
      </c>
      <c r="L17" s="186">
        <v>9</v>
      </c>
      <c r="M17" s="186">
        <v>1</v>
      </c>
      <c r="N17" s="186">
        <v>7</v>
      </c>
      <c r="O17" s="186">
        <v>0</v>
      </c>
      <c r="P17" s="186">
        <v>0</v>
      </c>
      <c r="Q17" s="186">
        <v>0</v>
      </c>
      <c r="R17" s="186">
        <v>0</v>
      </c>
      <c r="S17" s="186">
        <v>9</v>
      </c>
      <c r="T17" s="186">
        <v>6</v>
      </c>
      <c r="U17" s="186">
        <v>7</v>
      </c>
      <c r="V17" s="186">
        <v>8</v>
      </c>
      <c r="W17" s="186">
        <v>1</v>
      </c>
      <c r="X17" s="192">
        <v>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v>
      </c>
      <c r="AZ17" s="129">
        <f t="shared" si="14"/>
        <v>6</v>
      </c>
      <c r="BA17" s="129">
        <f t="shared" si="14"/>
        <v>7</v>
      </c>
      <c r="BB17" s="129">
        <f t="shared" si="14"/>
        <v>8</v>
      </c>
      <c r="BC17" s="125">
        <f>IF(ISNUMBER(W17),W17," - ")</f>
        <v>1</v>
      </c>
      <c r="BD17" s="126">
        <f>IF(ISNUMBER(BA17/AZ17),BA17/AZ17," - ")</f>
        <v>1.1666666666666667</v>
      </c>
      <c r="BE17" s="127">
        <f>IF(ISNUMBER(BB17/BA17),BB17/BA17, " - ")</f>
        <v>1.1428571428571428</v>
      </c>
      <c r="BF17" s="127">
        <f>IF(ISNUMBER(BC17/BA17),BC17/BA17, " - ")</f>
        <v>0.14285714285714285</v>
      </c>
      <c r="BG17" s="199">
        <f>IF(ISNUMBER((AY17+AZ17)/BA17),(AY17+AZ17)/BA17," - ")</f>
        <v>2.1428571428571428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104</v>
      </c>
      <c r="J18" s="187">
        <f t="shared" si="15"/>
        <v>128</v>
      </c>
      <c r="K18" s="187">
        <f t="shared" si="15"/>
        <v>140</v>
      </c>
      <c r="L18" s="187">
        <f t="shared" si="15"/>
        <v>92</v>
      </c>
      <c r="M18" s="187">
        <f t="shared" si="15"/>
        <v>20</v>
      </c>
      <c r="N18" s="187">
        <f t="shared" si="15"/>
        <v>94</v>
      </c>
      <c r="O18" s="187">
        <f t="shared" si="15"/>
        <v>1</v>
      </c>
      <c r="P18" s="187">
        <f t="shared" si="15"/>
        <v>6</v>
      </c>
      <c r="Q18" s="187">
        <f t="shared" si="15"/>
        <v>3</v>
      </c>
      <c r="R18" s="187">
        <f t="shared" si="15"/>
        <v>15</v>
      </c>
      <c r="S18" s="187">
        <f t="shared" si="15"/>
        <v>114</v>
      </c>
      <c r="T18" s="187">
        <f t="shared" si="15"/>
        <v>149</v>
      </c>
      <c r="U18" s="187">
        <f t="shared" si="15"/>
        <v>159</v>
      </c>
      <c r="V18" s="187">
        <f t="shared" si="15"/>
        <v>104</v>
      </c>
      <c r="W18" s="187">
        <f t="shared" si="15"/>
        <v>38</v>
      </c>
      <c r="X18" s="187">
        <f t="shared" si="15"/>
        <v>93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114</v>
      </c>
      <c r="AZ18" s="187">
        <f>SUBTOTAL(9,AZ14:AZ17)</f>
        <v>149</v>
      </c>
      <c r="BA18" s="187">
        <f>SUBTOTAL(9,BA14:BA17)</f>
        <v>159</v>
      </c>
      <c r="BB18" s="187">
        <f>SUBTOTAL(9,BB14:BB17)</f>
        <v>104</v>
      </c>
      <c r="BC18" s="187">
        <f>SUBTOTAL(9,BC14:BC17)</f>
        <v>38</v>
      </c>
      <c r="BD18" s="208">
        <f>IF(ISNUMBER(BA18/AZ18),BA18/AZ18," - ")</f>
        <v>1.0671140939597314</v>
      </c>
      <c r="BE18" s="209">
        <f>IF(ISNUMBER(BB18/BA18),BB18/BA18, " - ")</f>
        <v>0.65408805031446537</v>
      </c>
      <c r="BF18" s="209">
        <f>IF(ISNUMBER(BC18/BA18),BC18/BA18, " - ")</f>
        <v>0.2389937106918239</v>
      </c>
      <c r="BG18" s="210">
        <f>IF(ISNUMBER((AY18+AZ18)/BA18),(AY18+AZ18)/BA18," - ")</f>
        <v>1.6540880503144655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501</v>
      </c>
      <c r="J19" s="134">
        <f t="shared" si="18"/>
        <v>452</v>
      </c>
      <c r="K19" s="134">
        <f t="shared" si="18"/>
        <v>459</v>
      </c>
      <c r="L19" s="134">
        <f t="shared" si="18"/>
        <v>485</v>
      </c>
      <c r="M19" s="134">
        <f t="shared" si="18"/>
        <v>134</v>
      </c>
      <c r="N19" s="134">
        <f t="shared" si="18"/>
        <v>188</v>
      </c>
      <c r="O19" s="134">
        <f t="shared" si="18"/>
        <v>109</v>
      </c>
      <c r="P19" s="134">
        <f t="shared" si="18"/>
        <v>64</v>
      </c>
      <c r="Q19" s="134">
        <f t="shared" si="18"/>
        <v>69</v>
      </c>
      <c r="R19" s="134">
        <f t="shared" si="18"/>
        <v>867</v>
      </c>
      <c r="S19" s="134">
        <f t="shared" si="18"/>
        <v>397</v>
      </c>
      <c r="T19" s="134">
        <f t="shared" si="18"/>
        <v>471</v>
      </c>
      <c r="U19" s="134">
        <f t="shared" si="18"/>
        <v>393</v>
      </c>
      <c r="V19" s="134">
        <f t="shared" si="18"/>
        <v>456</v>
      </c>
      <c r="W19" s="134">
        <f t="shared" si="18"/>
        <v>125</v>
      </c>
      <c r="X19" s="134">
        <f t="shared" si="18"/>
        <v>176</v>
      </c>
      <c r="Y19" s="134">
        <f t="shared" si="18"/>
        <v>18</v>
      </c>
      <c r="Z19" s="134">
        <f t="shared" si="18"/>
        <v>36</v>
      </c>
      <c r="AA19" s="134">
        <f t="shared" si="18"/>
        <v>40</v>
      </c>
      <c r="AB19" s="134">
        <f t="shared" si="18"/>
        <v>14</v>
      </c>
      <c r="AC19" s="134">
        <f t="shared" si="18"/>
        <v>0</v>
      </c>
      <c r="AD19" s="134">
        <f t="shared" si="18"/>
        <v>0</v>
      </c>
      <c r="AE19" s="134">
        <f t="shared" si="18"/>
        <v>0</v>
      </c>
      <c r="AF19" s="134">
        <f t="shared" si="18"/>
        <v>0</v>
      </c>
      <c r="AG19" s="134">
        <f t="shared" si="18"/>
        <v>23</v>
      </c>
      <c r="AH19" s="134">
        <f t="shared" si="18"/>
        <v>31</v>
      </c>
      <c r="AI19" s="134">
        <f t="shared" si="18"/>
        <v>33</v>
      </c>
      <c r="AJ19" s="134">
        <f t="shared" si="18"/>
        <v>14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420</v>
      </c>
      <c r="AZ19" s="134">
        <f>SUBTOTAL(9,AZ9:AZ18)</f>
        <v>502</v>
      </c>
      <c r="BA19" s="134">
        <f>SUBTOTAL(9,BA9:BA18)</f>
        <v>426</v>
      </c>
      <c r="BB19" s="134">
        <f>SUBTOTAL(9,BB9:BB18)</f>
        <v>470</v>
      </c>
      <c r="BC19" s="135">
        <f>SUBTOTAL(9,BC9:BC18)</f>
        <v>122</v>
      </c>
      <c r="BD19" s="216">
        <f>IF(ISNUMBER(BA19/AZ19),BA19/AZ19," - ")</f>
        <v>0.84860557768924305</v>
      </c>
      <c r="BE19" s="213">
        <f>IF(ISNUMBER(BB19/BA19),BB19/BA19, " - ")</f>
        <v>1.1032863849765258</v>
      </c>
      <c r="BF19" s="213">
        <f>IF(ISNUMBER(BC19/BA19),BC19/BA19, " - ")</f>
        <v>0.28638497652582162</v>
      </c>
      <c r="BG19" s="135">
        <f>IF(ISNUMBER((AY19+AZ19)/BA19),(AY19+AZ19)/BA19," - ")</f>
        <v>2.164319248826291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9/vV7UsEyAjKEhf9azoZCMF1JX5B/k11aPy9pB5JIEZU1riDQ3+JqoOcBkmmaiHsyQmPEfBAcZagOA4zBQ3Sw==" saltValue="8/mvK1NF4yhFVgev0nXo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5Io0hnWA/ulxeNwKYO10JCpgr31v9p5v8BQzN2CeGF4L1WSCRj8iWOVAz4QqSidu3fGH0ZI5xS9hrIw+D3Fng==" saltValue="jQdTsqFiweBgWaDGbqR8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A ESTRADA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2</v>
      </c>
      <c r="AD10" s="337"/>
      <c r="AE10" s="487"/>
      <c r="AF10" s="335">
        <f>IF(ISNUMBER(Datos!L10),Datos!L10,"-")</f>
        <v>5</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v>
      </c>
      <c r="O12" s="337"/>
      <c r="P12" s="337"/>
      <c r="Q12" s="229">
        <f>IF(ISNUMBER(Datos!P12),Datos!P12,0)</f>
        <v>56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847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112</v>
      </c>
      <c r="BD12" s="232">
        <f>IF(ISNUMBER(Datos!N12),Datos!N12," - ")</f>
        <v>94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v>
      </c>
      <c r="BH12" s="263">
        <f>IF(ISNUMBER(((IF(J_V="SI",Datos!L12/Datos!K12,(Datos!L12+Datos!AB12)/(Datos!K12+Datos!AA12)))*11)/factor_trimestre),((IF(J_V="SI",Datos!L12/Datos!K12,(Datos!L12+Datos!AB12)/(Datos!K12+Datos!AA12)))*11)/factor_trimestre," - ")</f>
        <v>3.3781512605042021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-9.3567251461988306E-3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36</v>
      </c>
      <c r="O13" s="903">
        <f t="shared" si="0"/>
        <v>0</v>
      </c>
      <c r="P13" s="903">
        <f t="shared" si="0"/>
        <v>0</v>
      </c>
      <c r="Q13" s="902">
        <f t="shared" si="0"/>
        <v>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66</v>
      </c>
      <c r="AD13" s="902">
        <f t="shared" si="1"/>
        <v>0</v>
      </c>
      <c r="AE13" s="902">
        <f t="shared" si="1"/>
        <v>0</v>
      </c>
      <c r="AF13" s="902">
        <f t="shared" si="1"/>
        <v>5</v>
      </c>
      <c r="AG13" s="902">
        <f t="shared" si="1"/>
        <v>0</v>
      </c>
      <c r="AH13" s="902">
        <f t="shared" si="1"/>
        <v>14</v>
      </c>
      <c r="AI13" s="902">
        <f t="shared" si="1"/>
        <v>0</v>
      </c>
      <c r="AJ13" s="902">
        <f t="shared" si="1"/>
        <v>0</v>
      </c>
      <c r="AK13" s="902">
        <f t="shared" si="1"/>
        <v>0</v>
      </c>
      <c r="AL13" s="902">
        <f t="shared" si="1"/>
        <v>0</v>
      </c>
      <c r="AM13" s="902">
        <f t="shared" si="1"/>
        <v>852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114</v>
      </c>
      <c r="BD13" s="902">
        <f t="shared" si="1"/>
        <v>94</v>
      </c>
      <c r="BE13" s="902">
        <f t="shared" si="1"/>
        <v>0</v>
      </c>
      <c r="BF13" s="902">
        <f t="shared" si="1"/>
        <v>0</v>
      </c>
      <c r="BG13" s="902">
        <f>IF(ISNUMBER(Datos!K13/Datos!J13),Datos!K13/Datos!J13," - ")</f>
        <v>0.98456790123456794</v>
      </c>
      <c r="BH13" s="906">
        <f>IF(ISNUMBER(((Datos!L13/Datos!K13)*11)/factor_trimestre),((Datos!L13/Datos!K13)*11)/factor_trimestre," - ")</f>
        <v>3.6959247648902824</v>
      </c>
      <c r="BI13" s="902">
        <f>IF(ISNUMBER('Resol  Asuntos'!D13/NºAsuntos!G13),'Resol  Asuntos'!D13/NºAsuntos!G13," - ")</f>
        <v>0.31754874651810583</v>
      </c>
      <c r="BJ13" s="902" t="str">
        <f>IF(ISNUMBER(Datos!CI13/Datos!CJ13),Datos!CI13/Datos!CJ13," - ")</f>
        <v xml:space="preserve"> - </v>
      </c>
      <c r="BK13" s="902">
        <f>SUBTOTAL(9,BK8:BK12)</f>
        <v>0</v>
      </c>
      <c r="BL13" s="902">
        <f>IF(ISNUMBER((I13-AB13+L13)/(F13)),(I13-AB13+L13)/(F13)," - ")</f>
        <v>-0.5</v>
      </c>
      <c r="BM13" s="907">
        <f>SUBTOTAL(9,BM9:BM12)</f>
        <v>-9.3567251461988306E-3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95</v>
      </c>
      <c r="G16" s="601">
        <f>IF(ISNUMBER(IF(D_I="SI",Datos!I16,Datos!I16+Datos!AC16)),IF(D_I="SI",Datos!I16,Datos!I16+Datos!AC16)," - ")</f>
        <v>95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128</v>
      </c>
      <c r="AC16" s="229">
        <f>IF(ISNUMBER(Datos!Q16),Datos!Q16," - ")</f>
        <v>3</v>
      </c>
      <c r="AD16" s="337"/>
      <c r="AE16" s="487"/>
      <c r="AF16" s="599">
        <f>IF(ISNUMBER(IF(D_I="SI",Datos!L16,Datos!L16+Datos!AF16)),IF(D_I="SI",Datos!L16,Datos!L16+Datos!AF16)," - ")</f>
        <v>83</v>
      </c>
      <c r="AG16" s="337"/>
      <c r="AH16" s="337"/>
      <c r="AI16" s="337"/>
      <c r="AJ16" s="337"/>
      <c r="AK16" s="337"/>
      <c r="AL16" s="482"/>
      <c r="AM16" s="338">
        <f>IF(ISNUMBER(Datos!R16),Datos!R16," - ")</f>
        <v>15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v>
      </c>
      <c r="BD16" s="232">
        <f>IF(ISNUMBER(Datos!N16),Datos!N16," - ")</f>
        <v>87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1.103448275862069</v>
      </c>
      <c r="BH16" s="263">
        <f>IF(ISNUMBER(((IF(D_I="SI",Datos!L16/Datos!K16,(Datos!L16+Datos!AF16)/(Datos!K16+Datos!AE16)))*11)/factor_trimestre),((IF(D_I="SI",Datos!L16/Datos!K16,(Datos!L16+Datos!AF16)/(Datos!K16+Datos!AE16)))*11)/factor_trimestre," - ")</f>
        <v>1.9453125</v>
      </c>
      <c r="BI16" s="246">
        <f>IF(ISNUMBER('Resol  Asuntos'!D16/NºAsuntos!G16),'Resol  Asuntos'!D16/NºAsuntos!G16," - ")</f>
        <v>0.1484375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v>
      </c>
      <c r="AC17" s="229">
        <f>IF(ISNUMBER(Datos!Q17),Datos!Q17," - ")</f>
        <v>0</v>
      </c>
      <c r="AD17" s="337"/>
      <c r="AE17" s="487"/>
      <c r="AF17" s="335">
        <f>IF(ISNUMBER(Datos!L17),Datos!L17,"-")</f>
        <v>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2.25</v>
      </c>
      <c r="BI17" s="246">
        <f>IF(ISNUMBER('Resol  Asuntos'!D17/NºAsuntos!G17),'Resol  Asuntos'!D17/NºAsuntos!G17," - ")</f>
        <v>8.3333333333333329E-2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95</v>
      </c>
      <c r="G18" s="901">
        <f>SUBTOTAL(9,G15:G17)</f>
        <v>104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140</v>
      </c>
      <c r="AC18" s="902">
        <f t="shared" si="4"/>
        <v>3</v>
      </c>
      <c r="AD18" s="902">
        <f t="shared" si="4"/>
        <v>0</v>
      </c>
      <c r="AE18" s="902">
        <f t="shared" si="4"/>
        <v>0</v>
      </c>
      <c r="AF18" s="902">
        <f t="shared" si="4"/>
        <v>92</v>
      </c>
      <c r="AG18" s="902">
        <f t="shared" si="4"/>
        <v>0</v>
      </c>
      <c r="AH18" s="902">
        <f t="shared" si="4"/>
        <v>0</v>
      </c>
      <c r="AI18" s="902">
        <f t="shared" si="4"/>
        <v>0</v>
      </c>
      <c r="AJ18" s="902">
        <f t="shared" si="4"/>
        <v>0</v>
      </c>
      <c r="AK18" s="902">
        <f t="shared" si="4"/>
        <v>0</v>
      </c>
      <c r="AL18" s="902">
        <f t="shared" si="4"/>
        <v>0</v>
      </c>
      <c r="AM18" s="902">
        <f t="shared" si="4"/>
        <v>15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v>
      </c>
      <c r="BD18" s="902">
        <f t="shared" si="4"/>
        <v>94</v>
      </c>
      <c r="BE18" s="902">
        <f t="shared" si="4"/>
        <v>0</v>
      </c>
      <c r="BF18" s="902">
        <f t="shared" si="4"/>
        <v>0</v>
      </c>
      <c r="BG18" s="902">
        <f>IF(ISNUMBER(Datos!K18/Datos!J18),Datos!K18/Datos!J18," - ")</f>
        <v>1.09375</v>
      </c>
      <c r="BH18" s="906">
        <f>IF(ISNUMBER(((Datos!L18/Datos!K18)*11)/factor_trimestre),((Datos!L18/Datos!K18)*11)/factor_trimestre," - ")</f>
        <v>1.9714285714285715</v>
      </c>
      <c r="BI18" s="902">
        <f>SUBTOTAL(9,BI15:BI17)</f>
        <v>0.23177083333333331</v>
      </c>
      <c r="BJ18" s="902">
        <f>SUBTOTAL(9,BJ15:BJ17)</f>
        <v>0</v>
      </c>
      <c r="BK18" s="902">
        <f>SUBTOTAL(9,BK15:BK17)</f>
        <v>0</v>
      </c>
      <c r="BL18" s="902">
        <f>IF(ISNUMBER((I18-AB18+L18)/(F18)),(I18-AB18+L18)/(F18)," - ")</f>
        <v>-1.4736842105263157</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99</v>
      </c>
      <c r="G19" s="823">
        <f t="shared" si="6"/>
        <v>108</v>
      </c>
      <c r="H19" s="825">
        <f t="shared" si="6"/>
        <v>0</v>
      </c>
      <c r="I19" s="823">
        <f t="shared" si="6"/>
        <v>0</v>
      </c>
      <c r="J19" s="825">
        <f t="shared" si="6"/>
        <v>0</v>
      </c>
      <c r="K19" s="825">
        <f t="shared" si="6"/>
        <v>0</v>
      </c>
      <c r="L19" s="884">
        <f t="shared" si="6"/>
        <v>0</v>
      </c>
      <c r="M19" s="884">
        <f t="shared" si="6"/>
        <v>0</v>
      </c>
      <c r="N19" s="884">
        <f t="shared" si="6"/>
        <v>36</v>
      </c>
      <c r="O19" s="884">
        <f t="shared" si="6"/>
        <v>0</v>
      </c>
      <c r="P19" s="884">
        <f t="shared" si="6"/>
        <v>0</v>
      </c>
      <c r="Q19" s="825">
        <f t="shared" si="6"/>
        <v>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142</v>
      </c>
      <c r="AC19" s="824">
        <f t="shared" si="7"/>
        <v>69</v>
      </c>
      <c r="AD19" s="824">
        <f t="shared" si="7"/>
        <v>0</v>
      </c>
      <c r="AE19" s="824">
        <f t="shared" si="7"/>
        <v>0</v>
      </c>
      <c r="AF19" s="831">
        <f t="shared" si="7"/>
        <v>97</v>
      </c>
      <c r="AG19" s="831">
        <f t="shared" si="7"/>
        <v>0</v>
      </c>
      <c r="AH19" s="831">
        <f t="shared" si="7"/>
        <v>14</v>
      </c>
      <c r="AI19" s="831">
        <f t="shared" si="7"/>
        <v>0</v>
      </c>
      <c r="AJ19" s="824">
        <f t="shared" si="7"/>
        <v>0</v>
      </c>
      <c r="AK19" s="831">
        <f t="shared" si="7"/>
        <v>0</v>
      </c>
      <c r="AL19" s="831">
        <f t="shared" si="7"/>
        <v>0</v>
      </c>
      <c r="AM19" s="831">
        <f t="shared" si="7"/>
        <v>867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134</v>
      </c>
      <c r="BD19" s="823">
        <f t="shared" si="7"/>
        <v>188</v>
      </c>
      <c r="BE19" s="823">
        <f t="shared" si="7"/>
        <v>0</v>
      </c>
      <c r="BF19" s="833">
        <f t="shared" si="7"/>
        <v>0</v>
      </c>
      <c r="BG19" s="918">
        <f>IF(ISNUMBER(Datos!K19/Datos!J19),Datos!K19/Datos!J19," - ")</f>
        <v>1.0154867256637168</v>
      </c>
      <c r="BH19" s="918">
        <f>IF(ISNUMBER(((Datos!L19/Datos!K19)*11)/factor_trimestre),((Datos!L19/Datos!K19)*11)/factor_trimestre," - ")</f>
        <v>3.1699346405228761</v>
      </c>
      <c r="BI19" s="816">
        <f>IF(ISNUMBER(Datos!J19/Datos!I19),Datos!J19/Datos!I19," - ")</f>
        <v>0.9021956087824351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-1.4343434343434343</v>
      </c>
      <c r="BM19" s="892">
        <f>IF(ISNUMBER((Datos!P19-Datos!Q19+R19)/(Datos!R19-Datos!P19+Datos!Q19-R19)),(Datos!P19-Datos!Q19+R19)/(Datos!R19-Datos!P19+Datos!Q19-R19)," - ")</f>
        <v>-5.7339449541284407E-3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52.538874496255943</v>
      </c>
      <c r="G21" s="555">
        <f>IF(ISNUMBER(STDEV(G8:G18)),STDEV(G8:G18),"-")</f>
        <v>51.533484260236079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70.719162890973195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53.544996653904711</v>
      </c>
      <c r="BD21" s="554"/>
      <c r="BE21" s="554">
        <f>IF(ISNUMBER(STDEV(BE8:BE18)),STDEV(BE8:BE18),"-")</f>
        <v>0</v>
      </c>
      <c r="BF21" s="559">
        <f>IF(ISNUMBER(STDEV(BF8:BF18)),STDEV(BF8:BF18),"-")</f>
        <v>0</v>
      </c>
      <c r="BG21" s="778">
        <f>IF(ISNUMBER(STDEV(BG8:BG18)),STDEV(BG8:BG18),"-")</f>
        <v>0.15938074031741639</v>
      </c>
      <c r="BH21" s="779">
        <f>IF(ISNUMBER(STDEV(BH8:BH18)),STDEV(BH8:BH18),"-")</f>
        <v>2.1146215501045096</v>
      </c>
      <c r="BI21" s="252">
        <f>IF(ISNUMBER(STDEV(BI8:BI18)),STDEV(BI8:BI18),"-")</f>
        <v>0.1016653055498823</v>
      </c>
      <c r="BJ21" s="233" t="str">
        <f>IF(ISNUMBER(BL21/BM21),BL21/BM21," - ")</f>
        <v xml:space="preserve"> - </v>
      </c>
      <c r="BK21" s="578"/>
      <c r="BL21" s="562">
        <f>IF(ISNUMBER(STDEV(BL8:BL18)),STDEV(BL8:BL18),"-")</f>
        <v>0.68849870799742774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ZG8/S+WoGE1WI/xadImdpsmtXtBqqGQLQ/zj4Afq6Q93EJKh8SEVbSHhiaggvEtf7M/+9JbD7kSwEizLfNFuQ==" saltValue="UmIo/Cd7vXAUAuPdwPN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A ESTRADA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2</v>
      </c>
      <c r="AA10" s="335">
        <f>IF(ISNUMBER(Datos!L10),Datos!L10,"-")</f>
        <v>5</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64</v>
      </c>
      <c r="AA12" s="335" t="str">
        <f>IF(ISNUMBER(IF(J_V="SI",Datos!L12,Datos!L12+Datos!AB12)-IF(Monitorios="SI",Datos!CD12,0)),
                          IF(J_V="SI",Datos!L12,Datos!L12+Datos!AB12)-IF(Monitorios="SI",Datos!CD12,0),
                          " - ")</f>
        <v xml:space="preserve"> - </v>
      </c>
      <c r="AB12" s="337"/>
      <c r="AC12" s="337"/>
      <c r="AD12" s="487"/>
      <c r="AE12" s="487">
        <f>IF(ISNUMBER(Datos!R12),Datos!R12," - ")</f>
        <v>847</v>
      </c>
      <c r="AF12" s="232" t="str">
        <f>IF(ISNUMBER(Datos!BV12),Datos!BV12," - ")</f>
        <v xml:space="preserve"> - </v>
      </c>
      <c r="AG12" s="228" t="str">
        <f>IF(ISNUMBER(Datos!DV12),Datos!DV12," - ")</f>
        <v xml:space="preserve"> - </v>
      </c>
      <c r="AH12" s="301"/>
      <c r="AI12" s="230"/>
      <c r="AJ12" s="228">
        <f>IF(ISNUMBER(Datos!M12),Datos!M12," - ")</f>
        <v>112</v>
      </c>
      <c r="AK12" s="232">
        <f>IF(ISNUMBER(Datos!N12),Datos!N12," - ")</f>
        <v>94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3.3781512605042021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-9.3567251461988306E-3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66</v>
      </c>
      <c r="AA13" s="903">
        <f t="shared" si="2"/>
        <v>5</v>
      </c>
      <c r="AB13" s="903">
        <f t="shared" si="2"/>
        <v>0</v>
      </c>
      <c r="AC13" s="903">
        <f t="shared" si="2"/>
        <v>0</v>
      </c>
      <c r="AD13" s="903">
        <f t="shared" si="2"/>
        <v>0</v>
      </c>
      <c r="AE13" s="903">
        <f t="shared" si="2"/>
        <v>852</v>
      </c>
      <c r="AF13" s="911">
        <f t="shared" si="2"/>
        <v>0</v>
      </c>
      <c r="AG13" s="911">
        <f t="shared" si="2"/>
        <v>0</v>
      </c>
      <c r="AH13" s="911">
        <f t="shared" si="2"/>
        <v>0</v>
      </c>
      <c r="AI13" s="911">
        <f t="shared" si="2"/>
        <v>0</v>
      </c>
      <c r="AJ13" s="911">
        <f t="shared" si="2"/>
        <v>114</v>
      </c>
      <c r="AK13" s="911">
        <f t="shared" si="2"/>
        <v>94</v>
      </c>
      <c r="AL13" s="911">
        <f t="shared" si="2"/>
        <v>0</v>
      </c>
      <c r="AM13" s="911">
        <f t="shared" si="2"/>
        <v>0</v>
      </c>
      <c r="AN13" s="911">
        <f t="shared" si="2"/>
        <v>0</v>
      </c>
      <c r="AO13" s="907">
        <f>IF(ISNUMBER(((NºAsuntos!I13/NºAsuntos!G13)*11)/factor_trimestre),((NºAsuntos!I13/NºAsuntos!G13)*11)/factor_trimestre," - ")</f>
        <v>3.4011142061281334</v>
      </c>
      <c r="AP13" s="913" t="str">
        <f>IF(ISNUMBER(Datos!CI13/Datos!CJ13),Datos!CI13/Datos!CJ13," - ")</f>
        <v xml:space="preserve"> - </v>
      </c>
      <c r="AQ13" s="931">
        <f t="shared" ref="AQ13:AV13" si="3">SUBTOTAL(9,AQ9:AQ12)</f>
        <v>0</v>
      </c>
      <c r="AR13" s="931">
        <f t="shared" si="3"/>
        <v>-9.3567251461988306E-3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95</v>
      </c>
      <c r="G16" s="228">
        <f>IF(ISNUMBER(IF(D_I="SI",Datos!I16,Datos!I16+Datos!AC16)),IF(D_I="SI",Datos!I16,Datos!I16+Datos!AC16)," - ")</f>
        <v>95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128</v>
      </c>
      <c r="Z16" s="622">
        <f>IF(ISNUMBER(Datos!Q16),Datos!Q16," - ")</f>
        <v>3</v>
      </c>
      <c r="AA16" s="335">
        <f>IF(ISNUMBER(IF(D_I="SI",Datos!L16,Datos!L16+Datos!AF16)),IF(D_I="SI",Datos!L16,Datos!L16+Datos!AF16)," - ")</f>
        <v>83</v>
      </c>
      <c r="AB16" s="337"/>
      <c r="AC16" s="337"/>
      <c r="AD16" s="487"/>
      <c r="AE16" s="487">
        <f>IF(ISNUMBER(Datos!R16),Datos!R16," - ")</f>
        <v>15</v>
      </c>
      <c r="AF16" s="232" t="str">
        <f>IF(ISNUMBER(Datos!BV16),Datos!BV16," - ")</f>
        <v xml:space="preserve"> - </v>
      </c>
      <c r="AG16" s="228"/>
      <c r="AH16" s="301"/>
      <c r="AI16" s="230"/>
      <c r="AJ16" s="228">
        <f>IF(ISNUMBER(Datos!M16),Datos!M16," - ")</f>
        <v>19</v>
      </c>
      <c r="AK16" s="232">
        <f>IF(ISNUMBER(Datos!N16),Datos!N16," - ")</f>
        <v>87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1.9453125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v>
      </c>
      <c r="Z17" s="622">
        <f>IF(ISNUMBER(Datos!Q17),Datos!Q17," - ")</f>
        <v>0</v>
      </c>
      <c r="AA17" s="335">
        <f>IF(ISNUMBER(Datos!L17),Datos!L17,"-")</f>
        <v>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95</v>
      </c>
      <c r="G18" s="901">
        <f>SUBTOTAL(9,G15:G17)</f>
        <v>104</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140</v>
      </c>
      <c r="Z18" s="935">
        <f t="shared" si="5"/>
        <v>3</v>
      </c>
      <c r="AA18" s="935">
        <f t="shared" si="5"/>
        <v>92</v>
      </c>
      <c r="AB18" s="935">
        <f t="shared" si="5"/>
        <v>0</v>
      </c>
      <c r="AC18" s="935">
        <f t="shared" si="5"/>
        <v>0</v>
      </c>
      <c r="AD18" s="935">
        <f t="shared" si="5"/>
        <v>0</v>
      </c>
      <c r="AE18" s="935">
        <f t="shared" si="5"/>
        <v>15</v>
      </c>
      <c r="AF18" s="935">
        <f t="shared" si="5"/>
        <v>0</v>
      </c>
      <c r="AG18" s="935">
        <f t="shared" si="5"/>
        <v>0</v>
      </c>
      <c r="AH18" s="935">
        <f t="shared" si="5"/>
        <v>0</v>
      </c>
      <c r="AI18" s="935">
        <f t="shared" si="5"/>
        <v>0</v>
      </c>
      <c r="AJ18" s="935">
        <f t="shared" si="5"/>
        <v>20</v>
      </c>
      <c r="AK18" s="935">
        <f t="shared" si="5"/>
        <v>94</v>
      </c>
      <c r="AL18" s="935">
        <f t="shared" si="5"/>
        <v>0</v>
      </c>
      <c r="AM18" s="935">
        <f t="shared" si="5"/>
        <v>0</v>
      </c>
      <c r="AN18" s="935">
        <f t="shared" si="5"/>
        <v>0</v>
      </c>
      <c r="AO18" s="937">
        <f>IF(ISNUMBER(((NºAsuntos!I18/NºAsuntos!G18)*11)/factor_trimestre),((NºAsuntos!I18/NºAsuntos!G18)*11)/factor_trimestre," - ")</f>
        <v>1.9714285714285715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99</v>
      </c>
      <c r="G19" s="823">
        <f t="shared" si="7"/>
        <v>108</v>
      </c>
      <c r="H19" s="824">
        <f t="shared" si="7"/>
        <v>0</v>
      </c>
      <c r="I19" s="823">
        <f t="shared" si="7"/>
        <v>0</v>
      </c>
      <c r="J19" s="825">
        <f t="shared" si="7"/>
        <v>0</v>
      </c>
      <c r="K19" s="823">
        <f t="shared" si="7"/>
        <v>0</v>
      </c>
      <c r="L19" s="826">
        <f t="shared" si="7"/>
        <v>0</v>
      </c>
      <c r="M19" s="823">
        <f t="shared" si="7"/>
        <v>0</v>
      </c>
      <c r="N19" s="824">
        <f t="shared" si="7"/>
        <v>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142</v>
      </c>
      <c r="Z19" s="830">
        <f t="shared" si="8"/>
        <v>69</v>
      </c>
      <c r="AA19" s="831">
        <f t="shared" si="8"/>
        <v>97</v>
      </c>
      <c r="AB19" s="831">
        <f t="shared" si="8"/>
        <v>0</v>
      </c>
      <c r="AC19" s="831">
        <f t="shared" si="8"/>
        <v>0</v>
      </c>
      <c r="AD19" s="832">
        <f t="shared" si="8"/>
        <v>0</v>
      </c>
      <c r="AE19" s="832">
        <f t="shared" si="8"/>
        <v>867</v>
      </c>
      <c r="AF19" s="833">
        <f t="shared" si="8"/>
        <v>0</v>
      </c>
      <c r="AG19" s="834">
        <f t="shared" si="8"/>
        <v>0</v>
      </c>
      <c r="AH19" s="835">
        <f t="shared" si="8"/>
        <v>0</v>
      </c>
      <c r="AI19" s="833">
        <f t="shared" si="8"/>
        <v>0</v>
      </c>
      <c r="AJ19" s="823">
        <f t="shared" si="8"/>
        <v>134</v>
      </c>
      <c r="AK19" s="823">
        <f t="shared" si="8"/>
        <v>188</v>
      </c>
      <c r="AL19" s="823">
        <f t="shared" si="8"/>
        <v>0</v>
      </c>
      <c r="AM19" s="836">
        <f t="shared" si="8"/>
        <v>0</v>
      </c>
      <c r="AN19" s="826">
        <f>IF(ISNUMBER(Datos!K19/Datos!J19),Datos!K19/Datos!J19," - ")</f>
        <v>1.0154867256637168</v>
      </c>
      <c r="AO19" s="826">
        <f>IF(ISNUMBER(FIND("06",Criterios!A8,1)),(IF(ISNUMBER(((Datos!R19/Datos!Q19)*11)/factor_trimestre),((Datos!R19/Datos!Q19)*11)/factor_trimestre," - ")),(IF(ISNUMBER(((Datos!L19/Datos!K19)*11)/factor_trimestre),((Datos!L19/Datos!K19)*11)/factor_trimestre," - ")))</f>
        <v>3.1699346405228761</v>
      </c>
      <c r="AP19" s="837" t="str">
        <f>IF(ISNUMBER(Datos!CI19/Datos!CJ19),Datos!CI19/Datos!CJ19," - ")</f>
        <v xml:space="preserve"> - </v>
      </c>
      <c r="AQ19" s="837">
        <f>IF(OR(ISNUMBER(FIND("01",Criterios!A8,1)),ISNUMBER(FIND("02",Criterios!A8,1)),ISNUMBER(FIND("03",Criterios!A8,1)),ISNUMBER(FIND("04",Criterios!A8,1))),(J19-Y19+K19)/(F19-K19),(I19-Y19+K19)/(F19-K19))</f>
        <v>-1.4343434343434343</v>
      </c>
      <c r="AR19" s="837">
        <f>IF(ISNUMBER((Datos!P19-Datos!Q19+O19)/(Datos!R19-Datos!P19+Datos!Q19-O19)),(Datos!P19-Datos!Q19+O19)/(Datos!R19-Datos!P19+Datos!Q19-O19)," - ")</f>
        <v>-5.7339449541284407E-3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52.538874496255943</v>
      </c>
      <c r="G21" s="555">
        <f>IF(ISNUMBER(STDEV(G8:G18)),STDEV(G8:G18),"-")</f>
        <v>51.533484260236079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53.544996653904711</v>
      </c>
      <c r="AK21" s="255"/>
      <c r="AL21" s="255">
        <f>IF(ISNUMBER(STDEV(AL8:AL18)),STDEV(AL8:AL18),"-")</f>
        <v>0</v>
      </c>
      <c r="AM21" s="257">
        <f>IF(ISNUMBER(STDEV(AM8:AM18)),STDEV(AM8:AM18),"-")</f>
        <v>0</v>
      </c>
      <c r="AN21" s="542">
        <f>IF(ISNUMBER(STDEV(AN8:AN18)),STDEV(AN8:AN18),"-")</f>
        <v>0</v>
      </c>
      <c r="AO21" s="543">
        <f>IF(ISNUMBER(STDEV(AO8:AO18)),STDEV(AO8:AO18),"-")</f>
        <v>2.11137670211337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fcYEKFcyRfb15mUQChmY7nnMIbTj/hwvhyW6Uk810KGOUsmFOvzr6uSY1qFHpQ+d9ov93Jwg35G78Y7tIG6gw==" saltValue="PjZ+yOdejR3O7/bfZNPo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Myweiui+1LKv6oijSZtYU5qGyuJIkhTQi5ppD30cmqybvhgtIG/na3PFRc8+ByPa4U8oPfO6zECJYeG1mt0DEQ==" saltValue="tEAbOEUq6X3l6S85oum0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4NFTRuo+oX0RY3Z6suZzlGleG0Zi3h8GPRJP8BQ2q2aMmS1RcZFOrg0NVcvnGBB2jcLhnosdNIL5asaQ8R9YA==" saltValue="YtlHynjNLU0Hn8GBxvR3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A ESTRADA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0.31754874651810583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0.2245408720202407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l0N3dJHnpI9yXm+fZhOuXSOWbb72k1rzKDYlAxMRQvkvDC1h8CU7dvVnpXI98uVnO+eQ4ZqoIYPn66NSDPGfw==" saltValue="qkcNpEtzreGukekRYmh8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HCZXotgNBqV4MySPDtLdduoi+8DlpoFHvL46ScPDEywaV7OkL1vXNhphcD3oJsBUhC5HUIziEzNJ1Q06ZWepw==" saltValue="GtlBPwScVk+MRAlnto0G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A ESTRADA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3</v>
      </c>
      <c r="F10" s="407">
        <f>IF(ISNUMBER(E10/B10),E10/B10," - ")</f>
        <v>3</v>
      </c>
      <c r="G10" s="406">
        <f>IF(ISNUMBER(Datos!K10),Datos!K10," - ")</f>
        <v>2</v>
      </c>
      <c r="H10" s="407">
        <f>IF(ISNUMBER(G10/B10),G10/B10," - ")</f>
        <v>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411</v>
      </c>
      <c r="D12" s="407">
        <f>IF(ISNUMBER(C12/Datos!BH12),C12/Datos!BH12," - ")</f>
        <v>205.5</v>
      </c>
      <c r="E12" s="406">
        <f>IF(ISNUMBER(IF(J_V="SI",Datos!J12,Datos!J12+Datos!Z12)),IF(J_V="SI",Datos!J12,Datos!J12+Datos!Z12)," - ")</f>
        <v>357</v>
      </c>
      <c r="F12" s="407">
        <f>IF(ISNUMBER(E12/B12),E12/B12," - ")</f>
        <v>178.5</v>
      </c>
      <c r="G12" s="406">
        <f>IF(ISNUMBER(IF(J_V="SI",Datos!K12,Datos!K12+Datos!AA12)),IF(J_V="SI",Datos!K12,Datos!K12+Datos!AA12)," - ")</f>
        <v>357</v>
      </c>
      <c r="H12" s="407">
        <f>IF(ISNUMBER(G12/B12),G12/B12," - ")</f>
        <v>178.5</v>
      </c>
      <c r="I12" s="406">
        <f>IF(ISNUMBER(IF(J_V="SI",Datos!L12,Datos!L12+Datos!AB12)),IF(J_V="SI",Datos!L12,Datos!L12+Datos!AB12)," - ")</f>
        <v>402</v>
      </c>
      <c r="J12" s="407">
        <f>IF(ISNUMBER(I12/B12),I12/B12," - ")</f>
        <v>201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415</v>
      </c>
      <c r="D13" s="853" t="str">
        <f>IF(ISNUMBER(C13/Datos!BI13),C13/Datos!BI13," - ")</f>
        <v xml:space="preserve"> - </v>
      </c>
      <c r="E13" s="852">
        <f>SUBTOTAL(9,E8:E12)</f>
        <v>360</v>
      </c>
      <c r="F13" s="853">
        <f>IF(ISNUMBER(E13/B13),E13/B13," - ")</f>
        <v>180</v>
      </c>
      <c r="G13" s="852">
        <f>SUBTOTAL(9,G8:G12)</f>
        <v>359</v>
      </c>
      <c r="H13" s="853">
        <f>IF(ISNUMBER(G13/B13),G13/B13," - ")</f>
        <v>179.5</v>
      </c>
      <c r="I13" s="852">
        <f>SUBTOTAL(9,I8:I12)</f>
        <v>407</v>
      </c>
      <c r="J13" s="853">
        <f>IF(ISNUMBER(I13/B13),I13/B13," - ")</f>
        <v>203.5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95</v>
      </c>
      <c r="D16" s="407">
        <f>IF(ISNUMBER(C16/Datos!BH16),C16/Datos!BH16," - ")</f>
        <v>47.5</v>
      </c>
      <c r="E16" s="406">
        <f>IF(ISNUMBER(IF(D_I="SI",Datos!J16,Datos!J16+Datos!AD16)),IF(D_I="SI",Datos!J16,Datos!J16+Datos!AD16)," - ")</f>
        <v>116</v>
      </c>
      <c r="F16" s="407">
        <f>IF(ISNUMBER(E16/B16),E16/B16," - ")</f>
        <v>58</v>
      </c>
      <c r="G16" s="406">
        <f>IF(ISNUMBER(IF(D_I="SI",Datos!K16,Datos!K16+Datos!AE16)),IF(D_I="SI",Datos!K16,Datos!K16+Datos!AE16)," - ")</f>
        <v>128</v>
      </c>
      <c r="H16" s="407">
        <f>IF(ISNUMBER(G16/B16),G16/B16," - ")</f>
        <v>64</v>
      </c>
      <c r="I16" s="406">
        <f>IF(ISNUMBER(IF(D_I="SI",Datos!L16,Datos!L16+Datos!AF16)),IF(D_I="SI",Datos!L16,Datos!L16+Datos!AF16)," - ")</f>
        <v>83</v>
      </c>
      <c r="J16" s="407">
        <f>IF(ISNUMBER(I16/B16),I16/B16," - ")</f>
        <v>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v>
      </c>
      <c r="D17" s="407">
        <f>IF(ISNUMBER(C17/Datos!BH17),C17/Datos!BH17," - ")</f>
        <v>9</v>
      </c>
      <c r="E17" s="406">
        <f>IF(ISNUMBER(IF(D_I="SI",Datos!J17,Datos!J17+Datos!AD17)),IF(D_I="SI",Datos!J17,Datos!J17+Datos!AD17)," - ")</f>
        <v>12</v>
      </c>
      <c r="F17" s="407">
        <f>IF(ISNUMBER(E17/B17),E17/B17," - ")</f>
        <v>12</v>
      </c>
      <c r="G17" s="406">
        <f>IF(ISNUMBER(IF(D_I="SI",Datos!K17,Datos!K17+Datos!AE17)),IF(D_I="SI",Datos!K17,Datos!K17+Datos!AE17)," - ")</f>
        <v>12</v>
      </c>
      <c r="H17" s="407">
        <f>IF(ISNUMBER(G17/B17),G17/B17," - ")</f>
        <v>12</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104</v>
      </c>
      <c r="D18" s="853" t="str">
        <f>IF(ISNUMBER(C18/Datos!BI18),C18/Datos!BI18," - ")</f>
        <v xml:space="preserve"> - </v>
      </c>
      <c r="E18" s="852">
        <f>SUBTOTAL(9,E14:E17)</f>
        <v>128</v>
      </c>
      <c r="F18" s="853">
        <f>IF(ISNUMBER(E18/B18),E18/B18," - ")</f>
        <v>64</v>
      </c>
      <c r="G18" s="852">
        <f>SUBTOTAL(9,G14:G17)</f>
        <v>140</v>
      </c>
      <c r="H18" s="853">
        <f>IF(ISNUMBER(G18/B18),G18/B18," - ")</f>
        <v>70</v>
      </c>
      <c r="I18" s="852">
        <f>SUBTOTAL(9,I14:I17)</f>
        <v>92</v>
      </c>
      <c r="J18" s="853">
        <f>IF(ISNUMBER(I18/B18),I18/B18," - ")</f>
        <v>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519</v>
      </c>
      <c r="D19" s="798" t="str">
        <f>IF(ISNUMBER(C19/Datos!BI19),C19/Datos!BI19," - ")</f>
        <v xml:space="preserve"> - </v>
      </c>
      <c r="E19" s="797">
        <f>SUBTOTAL(9,E9:E18)</f>
        <v>488</v>
      </c>
      <c r="F19" s="798">
        <f>IF(ISNUMBER(E19/B19),E19/B19," - ")</f>
        <v>244</v>
      </c>
      <c r="G19" s="797">
        <f>SUBTOTAL(9,G9:G18)</f>
        <v>499</v>
      </c>
      <c r="H19" s="798">
        <f>IF(ISNUMBER(G19/B19),G19/B19," - ")</f>
        <v>249.5</v>
      </c>
      <c r="I19" s="797">
        <f>SUBTOTAL(9,I9:I18)</f>
        <v>499</v>
      </c>
      <c r="J19" s="798">
        <f>IF(ISNUMBER(I19/B19),I19/B19," - ")</f>
        <v>249.5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pbhWoggx+Vz2vi2auoe2tMtN5DFfY8jIuHmgm7fgylBsUL8EUR8edgrNAsOcH/iJBDxN/fm+xT4JjcwSFNymA==" saltValue="OYuU97GP+t9A8KF5Nv84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A ESTRADA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847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112</v>
      </c>
      <c r="AM12" s="693">
        <f>IF(ISNUMBER(Datos!N12+DatosP!N16),Datos!N12+DatosP!N16," - ")</f>
        <v>94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3.3781512605042021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-9.3567251461988306E-3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58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64</v>
      </c>
      <c r="AE13" s="942">
        <f t="shared" si="1"/>
        <v>0</v>
      </c>
      <c r="AF13" s="942">
        <f t="shared" si="1"/>
        <v>5</v>
      </c>
      <c r="AG13" s="942">
        <f t="shared" si="1"/>
        <v>0</v>
      </c>
      <c r="AH13" s="942">
        <f t="shared" si="1"/>
        <v>847</v>
      </c>
      <c r="AI13" s="942">
        <f t="shared" si="1"/>
        <v>0</v>
      </c>
      <c r="AJ13" s="942">
        <f t="shared" si="1"/>
        <v>0</v>
      </c>
      <c r="AK13" s="942">
        <f t="shared" si="1"/>
        <v>0</v>
      </c>
      <c r="AL13" s="942">
        <f t="shared" si="1"/>
        <v>114</v>
      </c>
      <c r="AM13" s="942">
        <f t="shared" si="1"/>
        <v>94</v>
      </c>
      <c r="AN13" s="942">
        <f t="shared" si="1"/>
        <v>0</v>
      </c>
      <c r="AO13" s="942">
        <f t="shared" si="1"/>
        <v>0</v>
      </c>
      <c r="AP13" s="947">
        <f>IF(ISNUMBER(((Datos!L13/Datos!K13)*11)/factor_trimestre),((Datos!L13/Datos!K13)*11)/factor_trimestre," - ")</f>
        <v>3.6959247648902824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-9.3567251461988306E-3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1.9714285714285715</v>
      </c>
      <c r="AQ18" s="947">
        <f>IF(ISNUMBER(((Datos!M18/Datos!L18)*11)/factor_trimestre),((Datos!M18/Datos!L18)*11)/factor_trimestre," - ")</f>
        <v>0.65217391304347827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-9.5238095238095233E-2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58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64</v>
      </c>
      <c r="AE19" s="960">
        <f t="shared" si="5"/>
        <v>0</v>
      </c>
      <c r="AF19" s="961">
        <f t="shared" si="5"/>
        <v>5</v>
      </c>
      <c r="AG19" s="961">
        <f t="shared" si="5"/>
        <v>0</v>
      </c>
      <c r="AH19" s="961">
        <f t="shared" si="5"/>
        <v>847</v>
      </c>
      <c r="AI19" s="961">
        <f t="shared" si="5"/>
        <v>0</v>
      </c>
      <c r="AJ19" s="962">
        <f t="shared" si="5"/>
        <v>0</v>
      </c>
      <c r="AK19" s="962">
        <f t="shared" si="5"/>
        <v>0</v>
      </c>
      <c r="AL19" s="954">
        <f t="shared" si="5"/>
        <v>114</v>
      </c>
      <c r="AM19" s="954">
        <f t="shared" si="5"/>
        <v>94</v>
      </c>
      <c r="AN19" s="954">
        <f t="shared" si="5"/>
        <v>0</v>
      </c>
      <c r="AO19" s="954">
        <f t="shared" si="5"/>
        <v>0</v>
      </c>
      <c r="AP19" s="954">
        <f>IF(ISNUMBER(((Datos!L19/Datos!K19)*11)/factor_trimestre),((Datos!L19/Datos!K19)*11)/factor_trimestre," - ")</f>
        <v>3.1699346405228761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-5.7339449541284407E-3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64.673539153711602</v>
      </c>
      <c r="AM21" s="739"/>
      <c r="AN21" s="739">
        <f>IF(ISNUMBER(STDEV(AN8:AN18)),STDEV(AN8:AN18),"-")</f>
        <v>0</v>
      </c>
      <c r="AO21" s="745">
        <f>IF(ISNUMBER(STDEV(AO8:AO18)),STDEV(AO8:AO18),"-")</f>
        <v>0</v>
      </c>
      <c r="AP21" s="782">
        <f>IF(ISNUMBER(STDEV(AP8:AP18)),STDEV(AP8:AP18),"-")</f>
        <v>2.364308625366486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U17FSKMxAvdZ5KUUfxwQq2h+4LWbCpw1MBCUPYYs7VHNFTY0FtS4T+3bzAce/w2pbb+zsHq2zTz1UfCGwgdiQ==" saltValue="09PCSYTtaUeyghb2meH8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A ESTRADA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03cVsalrKrotqqaVuaDHB2/Ngvdffgn4NCosQCZe0iH9HfJ2Q7ku4mdRzLqfFOW2iupznXXd43IvKF83dQQdg==" saltValue="urM4QjR+mPq/ip9fWpNH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A ESTRADA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112</v>
      </c>
      <c r="E12" s="407">
        <f t="shared" si="0"/>
        <v>56</v>
      </c>
      <c r="F12" s="406">
        <f>IF(ISNUMBER(Datos!N12),Datos!N12," - ")</f>
        <v>94</v>
      </c>
      <c r="G12" s="407">
        <f t="shared" si="1"/>
        <v>47</v>
      </c>
      <c r="H12" s="406">
        <f>IF(ISNUMBER(Datos!O12),Datos!O12," - ")</f>
        <v>108</v>
      </c>
      <c r="I12" s="407">
        <f t="shared" si="2"/>
        <v>54</v>
      </c>
    </row>
    <row r="13" spans="1:9" ht="14.25" thickTop="1" thickBot="1">
      <c r="A13" s="851" t="str">
        <f>Datos!A13</f>
        <v>TOTAL</v>
      </c>
      <c r="B13" s="852">
        <f>Datos!AO13</f>
        <v>3</v>
      </c>
      <c r="C13" s="854">
        <f>Datos!AR13</f>
        <v>2</v>
      </c>
      <c r="D13" s="852">
        <f>SUBTOTAL(9,D9:D12)</f>
        <v>114</v>
      </c>
      <c r="E13" s="853">
        <f t="shared" si="0"/>
        <v>38</v>
      </c>
      <c r="F13" s="852">
        <f>SUBTOTAL(9,F9:F12)</f>
        <v>94</v>
      </c>
      <c r="G13" s="853">
        <f t="shared" si="1"/>
        <v>31.333333333333332</v>
      </c>
      <c r="H13" s="852">
        <f>SUBTOTAL(9,H9:H12)</f>
        <v>108</v>
      </c>
      <c r="I13" s="853">
        <f>IF(ISNUMBER(H13/B13),H13/B13," - ")</f>
        <v>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19</v>
      </c>
      <c r="E16" s="407">
        <f t="shared" si="3"/>
        <v>9.5</v>
      </c>
      <c r="F16" s="406">
        <f>IF(ISNUMBER(Datos!N16),Datos!N16," - ")</f>
        <v>87</v>
      </c>
      <c r="G16" s="407">
        <f t="shared" si="4"/>
        <v>43.5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3</v>
      </c>
      <c r="C18" s="854">
        <f>Datos!AR18</f>
        <v>2</v>
      </c>
      <c r="D18" s="852">
        <f>SUBTOTAL(9,D15:D17)</f>
        <v>20</v>
      </c>
      <c r="E18" s="853">
        <f t="shared" si="3"/>
        <v>6.666666666666667</v>
      </c>
      <c r="F18" s="852">
        <f>SUBTOTAL(9,F15:F17)</f>
        <v>94</v>
      </c>
      <c r="G18" s="853">
        <f t="shared" si="4"/>
        <v>31.333333333333332</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134</v>
      </c>
      <c r="E19" s="798">
        <f>IF(ISNUMBER(D19/B19),D19/B19," - ")</f>
        <v>67</v>
      </c>
      <c r="F19" s="797">
        <f>SUBTOTAL(9,F8:F18)</f>
        <v>188</v>
      </c>
      <c r="G19" s="798">
        <f>IF(ISNUMBER(F19/B19),F19/B19," - ")</f>
        <v>94</v>
      </c>
      <c r="H19" s="797">
        <f>SUBTOTAL(9,H8:H18)</f>
        <v>109</v>
      </c>
      <c r="I19" s="798">
        <f>IF(ISNUMBER(H19/B19),H19/B19," - ")</f>
        <v>54.5</v>
      </c>
    </row>
    <row r="22" spans="1:9">
      <c r="A22" s="394" t="str">
        <f>Criterios!A4</f>
        <v>Fecha Informe: 07 mar. 2024</v>
      </c>
    </row>
    <row r="27" spans="1:9">
      <c r="A27" s="417"/>
    </row>
  </sheetData>
  <sheetProtection algorithmName="SHA-512" hashValue="/X5HrVh0nPMgadBcYA06SNYkGnN1p0qQuSEPCnP11Auz7RZqv6UFVuVK3UYZCKxl9k6cHPYTyLld8TSGXB6NJQ==" saltValue="nIIeGW5UNgWz74lkcCzM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A ESTRADA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56</v>
      </c>
      <c r="C12" s="437">
        <f>IF(ISNUMBER(Datos!Q12),Datos!Q12," - ")</f>
        <v>64</v>
      </c>
      <c r="D12" s="411">
        <f>IF(ISNUMBER(Datos!R12),Datos!R12," - ")</f>
        <v>847</v>
      </c>
    </row>
    <row r="13" spans="1:4" ht="14.25" thickTop="1" thickBot="1">
      <c r="A13" s="851" t="str">
        <f>Datos!A13</f>
        <v>TOTAL</v>
      </c>
      <c r="B13" s="852">
        <f>SUBTOTAL(9,B9:B12)</f>
        <v>58</v>
      </c>
      <c r="C13" s="856">
        <f>SUBTOTAL(9,C9:C12)</f>
        <v>66</v>
      </c>
      <c r="D13" s="854">
        <f>SUBTOTAL(9,D9:D12)</f>
        <v>852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3</v>
      </c>
      <c r="D16" s="411">
        <f>IF(ISNUMBER(Datos!R16),Datos!R16," - ")</f>
        <v>15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3</v>
      </c>
      <c r="D18" s="854">
        <f>SUBTOTAL(9,D15:D17)</f>
        <v>15</v>
      </c>
    </row>
    <row r="19" spans="1:4" ht="16.5" customHeight="1" thickTop="1" thickBot="1">
      <c r="A19" s="796" t="str">
        <f>Datos!A19</f>
        <v>TOTAL JURISDICCIONES</v>
      </c>
      <c r="B19" s="801">
        <f>SUBTOTAL(9,B8:B18)</f>
        <v>64</v>
      </c>
      <c r="C19" s="802">
        <f>SUBTOTAL(9,C8:C18)</f>
        <v>69</v>
      </c>
      <c r="D19" s="803">
        <f>SUBTOTAL(9,D8:D18)</f>
        <v>867</v>
      </c>
    </row>
    <row r="20" spans="1:4" ht="7.5" customHeight="1"/>
    <row r="21" spans="1:4" ht="6" customHeight="1"/>
    <row r="22" spans="1:4">
      <c r="A22" s="394" t="str">
        <f>Criterios!A4</f>
        <v>Fecha Informe: 07 mar. 2024</v>
      </c>
    </row>
    <row r="27" spans="1:4">
      <c r="A27" s="417"/>
    </row>
  </sheetData>
  <sheetProtection algorithmName="SHA-512" hashValue="3m+qCE+2gaBxwljb2PoiFXU0blkW/jqxyL73YUbxfq7XLYxl0+5HgXE0E4tpO3GBC0eio4IS7ZWjpkBFKuhv9Q==" saltValue="I9YtUzDwctecllgfJvm4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A ESTRADA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v>
      </c>
      <c r="C10" s="459">
        <f>IF(ISNUMBER((Datos!J10-Datos!T10)/Datos!T10),(Datos!J10-Datos!T10)/Datos!T10," - ")</f>
        <v>2</v>
      </c>
      <c r="D10" s="459">
        <f>IF(ISNUMBER((Datos!K10-Datos!U10)/Datos!U10),(Datos!K10-Datos!U10)/Datos!U10," - ")</f>
        <v>1</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-0.33333333333333337</v>
      </c>
      <c r="I10" s="459">
        <f>IF(ISNUMBER(((NºAsuntos!I10/NºAsuntos!G10)-Datos!BE10)/Datos!BE10),((NºAsuntos!I10/NºAsuntos!G10)-Datos!BE10)/Datos!BE10," - ")</f>
        <v>-0.5</v>
      </c>
      <c r="J10" s="464">
        <f>IF(ISNUMBER((('Resol  Asuntos'!D10/NºAsuntos!G10)-Datos!BF10)/Datos!BF10),(('Resol  Asuntos'!D10/NºAsuntos!G10)-Datos!BF10)/Datos!BF10," - ")</f>
        <v>0</v>
      </c>
      <c r="K10" s="465">
        <f>IF(ISNUMBER((((NºAsuntos!C10+NºAsuntos!E10)/NºAsuntos!G10)-Datos!BG10)/Datos!BG10),(((NºAsuntos!C10+NºAsuntos!E10)/NºAsuntos!G10)-Datos!BG10)/Datos!BG10," - ")</f>
        <v>-0.41666666666666669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0.36544850498338871</v>
      </c>
      <c r="C12" s="459">
        <f>IF(ISNUMBER(
   IF(J_V="SI",(Datos!J12-Datos!T12)/Datos!T12,(Datos!J12+Datos!Z12-(Datos!T12+Datos!AH12))/(Datos!T12+Datos!AH12))
     ),IF(J_V="SI",(Datos!J12-Datos!T12)/Datos!T12,(Datos!J12+Datos!Z12-(Datos!T12+Datos!AH12))/(Datos!T12+Datos!AH12))," - ")</f>
        <v>1.4204545454545454E-2</v>
      </c>
      <c r="D12" s="459">
        <f>IF(ISNUMBER(
   IF(J_V="SI",(Datos!K12-Datos!U12)/Datos!U12,(Datos!K12+Datos!AA12-(Datos!U12+Datos!AI12))/(Datos!U12+Datos!AI12))
     ),IF(J_V="SI",(Datos!K12-Datos!U12)/Datos!U12,(Datos!K12+Datos!AA12-(Datos!U12+Datos!AI12))/(Datos!U12+Datos!AI12))," - ")</f>
        <v>0.34210526315789475</v>
      </c>
      <c r="E12" s="459">
        <f>IF(ISNUMBER(
   IF(J_V="SI",(Datos!L12-Datos!V12)/Datos!V12,(Datos!L12+Datos!AB12-(Datos!V12+Datos!AJ12))/(Datos!V12+Datos!AJ12))
     ),IF(J_V="SI",(Datos!L12-Datos!V12)/Datos!V12,(Datos!L12+Datos!AB12-(Datos!V12+Datos!AJ12))/(Datos!V12+Datos!AJ12))," - ")</f>
        <v>0.11357340720221606</v>
      </c>
      <c r="F12" s="459">
        <f>IF(ISNUMBER((Datos!M12-Datos!W12)/Datos!W12),(Datos!M12-Datos!W12)/Datos!W12," - ")</f>
        <v>0.30232558139534882</v>
      </c>
      <c r="G12" s="460">
        <f>IF(ISNUMBER((Datos!N12-Datos!X12)/Datos!X12),(Datos!N12-Datos!X12)/Datos!X12," - ")</f>
        <v>0.13253012048192772</v>
      </c>
      <c r="H12" s="458">
        <f>IF(ISNUMBER(((NºAsuntos!G12/NºAsuntos!E12)-Datos!BD12)/Datos!BD12),((NºAsuntos!G12/NºAsuntos!E12)-Datos!BD12)/Datos!BD12," - ")</f>
        <v>0.32330827067669166</v>
      </c>
      <c r="I12" s="459">
        <f>IF(ISNUMBER(((NºAsuntos!I12/NºAsuntos!G12)-Datos!BE12)/Datos!BE12),((NºAsuntos!I12/NºAsuntos!G12)-Datos!BE12)/Datos!BE12," - ")</f>
        <v>-0.17027863777089788</v>
      </c>
      <c r="J12" s="464">
        <f>IF(ISNUMBER((('Resol  Asuntos'!D12/NºAsuntos!G12)-Datos!BF12)/Datos!BF12),(('Resol  Asuntos'!D12/NºAsuntos!G12)-Datos!BF12)/Datos!BF12," - ")</f>
        <v>5.4334987006850457E-3</v>
      </c>
      <c r="K12" s="465">
        <f>IF(ISNUMBER((((NºAsuntos!C12+NºAsuntos!E12)/NºAsuntos!G12)-Datos!BG12)/Datos!BG12),(((NºAsuntos!C12+NºAsuntos!E12)/NºAsuntos!G12)-Datos!BG12)/Datos!BG12," - ")</f>
        <v>-0.12368255112152066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0.3562091503267974</v>
      </c>
      <c r="C13" s="858">
        <f>IF(ISNUMBER(
   IF(J_V="SI",(Datos!J13-Datos!T13)/Datos!T13,(Datos!J13+Datos!Z13-(Datos!T13+Datos!AH13))/(Datos!T13+Datos!AH13))
     ),IF(J_V="SI",(Datos!J13-Datos!T13)/Datos!T13,(Datos!J13+Datos!Z13-(Datos!T13+Datos!AH13))/(Datos!T13+Datos!AH13))," - ")</f>
        <v>1.9830028328611898E-2</v>
      </c>
      <c r="D13" s="858">
        <f>IF(ISNUMBER(
   IF(J_V="SI",(Datos!K13-Datos!U13)/Datos!U13,(Datos!K13+Datos!AA13-(Datos!U13+Datos!AI13))/(Datos!U13+Datos!AI13))
     ),IF(J_V="SI",(Datos!K13-Datos!U13)/Datos!U13,(Datos!K13+Datos!AA13-(Datos!U13+Datos!AI13))/(Datos!U13+Datos!AI13))," - ")</f>
        <v>0.34456928838951312</v>
      </c>
      <c r="E13" s="858">
        <f>IF(ISNUMBER(
   IF(J_V="SI",(Datos!L13-Datos!V13)/Datos!V13,(Datos!L13+Datos!AB13-(Datos!V13+Datos!AJ13))/(Datos!V13+Datos!AJ13))
     ),IF(J_V="SI",(Datos!L13-Datos!V13)/Datos!V13,(Datos!L13+Datos!AB13-(Datos!V13+Datos!AJ13))/(Datos!V13+Datos!AJ13))," - ")</f>
        <v>0.11202185792349727</v>
      </c>
      <c r="F13" s="859">
        <f>IF(ISNUMBER((Datos!M13-Datos!W13)/Datos!W13),(Datos!M13-Datos!W13)/Datos!W13," - ")</f>
        <v>0.31034482758620691</v>
      </c>
      <c r="G13" s="860">
        <f>IF(ISNUMBER((Datos!N13-Datos!X13)/Datos!X13),(Datos!N13-Datos!X13)/Datos!X13," - ")</f>
        <v>0.13253012048192772</v>
      </c>
      <c r="H13" s="860">
        <f>IF(ISNUMBER(((NºAsuntos!G13/NºAsuntos!E13)-Datos!BD13)/Datos!BD13),((NºAsuntos!G13/NºAsuntos!E13)-Datos!BD13)/Datos!BD13," - ")</f>
        <v>0.31842488555971699</v>
      </c>
      <c r="I13" s="860">
        <f>IF(ISNUMBER(((NºAsuntos!I13/NºAsuntos!G13)-Datos!BE13)/Datos!BE13),((NºAsuntos!I13/NºAsuntos!G13)-Datos!BE13)/Datos!BE13," - ")</f>
        <v>-0.17295310288141014</v>
      </c>
      <c r="J13" s="860">
        <f>IF(ISNUMBER((('Resol  Asuntos'!D13/NºAsuntos!G13)-Datos!BF13)/Datos!BF13),(('Resol  Asuntos'!D13/NºAsuntos!G13)-Datos!BF13)/Datos!BF13," - ")</f>
        <v>9.3513728611221269E-3</v>
      </c>
      <c r="K13" s="860">
        <f>IF(ISNUMBER((((NºAsuntos!C13+NºAsuntos!E13)/NºAsuntos!G13)-Datos!BG13)/Datos!BG13),(((NºAsuntos!C13+NºAsuntos!E13)/NºAsuntos!G13)-Datos!BG13)/Datos!BG13," - ")</f>
        <v>-0.12535241629716681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-9.5238095238095233E-2</v>
      </c>
      <c r="C16" s="459">
        <f>IF(ISNUMBER(
   IF(D_I="SI",(Datos!J16-Datos!T16)/Datos!T16,(Datos!J16+Datos!AD16-(Datos!T16+Datos!AL16))/(Datos!T16+Datos!AL16))
     ),IF(D_I="SI",(Datos!J16-Datos!T16)/Datos!T16,(Datos!J16+Datos!AD16-(Datos!T16+Datos!AL16))/(Datos!T16+Datos!AL16))," - ")</f>
        <v>-0.1888111888111888</v>
      </c>
      <c r="D16" s="459">
        <f>IF(ISNUMBER(
   IF(D_I="SI",(Datos!K16-Datos!U16)/Datos!U16,(Datos!K16+Datos!AE16-(Datos!U16+Datos!AM16))/(Datos!U16+Datos!AM16))
     ),IF(D_I="SI",(Datos!K16-Datos!U16)/Datos!U16,(Datos!K16+Datos!AE16-(Datos!U16+Datos!AM16))/(Datos!U16+Datos!AM16))," - ")</f>
        <v>-0.15789473684210525</v>
      </c>
      <c r="E16" s="459">
        <f>IF(ISNUMBER(
   IF(D_I="SI",(Datos!L16-Datos!V16)/Datos!V16,(Datos!L16+Datos!AF16-(Datos!V16+Datos!AN16))/(Datos!V16+Datos!AN16))
     ),IF(D_I="SI",(Datos!L16-Datos!V16)/Datos!V16,(Datos!L16+Datos!AF16-(Datos!V16+Datos!AN16))/(Datos!V16+Datos!AN16))," - ")</f>
        <v>-0.13541666666666666</v>
      </c>
      <c r="F16" s="459">
        <f>IF(ISNUMBER((Datos!M16-Datos!W16)/Datos!W16),(Datos!M16-Datos!W16)/Datos!W16," - ")</f>
        <v>-0.48648648648648651</v>
      </c>
      <c r="G16" s="460">
        <f>IF(ISNUMBER((Datos!N16-Datos!X16)/Datos!X16),(Datos!N16-Datos!X16)/Datos!X16," - ")</f>
        <v>-1.1363636363636364E-2</v>
      </c>
      <c r="H16" s="458">
        <f>IF(ISNUMBER(((NºAsuntos!G16/NºAsuntos!E16)-Datos!BD16)/Datos!BD16),((NºAsuntos!G16/NºAsuntos!E16)-Datos!BD16)/Datos!BD16," - ")</f>
        <v>3.8112522686025413E-2</v>
      </c>
      <c r="I16" s="459">
        <f>IF(ISNUMBER(((NºAsuntos!I16/NºAsuntos!G16)-Datos!BE16)/Datos!BE16),((NºAsuntos!I16/NºAsuntos!G16)-Datos!BE16)/Datos!BE16," - ")</f>
        <v>2.6692708333333391E-2</v>
      </c>
      <c r="J16" s="464">
        <f>IF(ISNUMBER((('Resol  Asuntos'!D16/NºAsuntos!G16)-Datos!BF16)/Datos!BF16),(('Resol  Asuntos'!D16/NºAsuntos!G16)-Datos!BF16)/Datos!BF16," - ")</f>
        <v>-0.39020270270270274</v>
      </c>
      <c r="K16" s="465">
        <f>IF(ISNUMBER((((NºAsuntos!C16+NºAsuntos!E16)/NºAsuntos!G16)-Datos!BG16)/Datos!BG16),(((NºAsuntos!C16+NºAsuntos!E16)/NºAsuntos!G16)-Datos!BG16)/Datos!BG16," - ")</f>
        <v>1.0332661290322603E-2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0.7142857142857143</v>
      </c>
      <c r="E17" s="459">
        <f>IF(ISNUMBER(
   IF(D_I="SI",(Datos!L17-Datos!V17)/Datos!V17,(Datos!L17+Datos!AF17-(Datos!V17+Datos!AN17))/(Datos!V17+Datos!AN17))
     ),IF(D_I="SI",(Datos!L17-Datos!V17)/Datos!V17,(Datos!L17+Datos!AF17-(Datos!V17+Datos!AN17))/(Datos!V17+Datos!AN17))," - ")</f>
        <v>0.125</v>
      </c>
      <c r="F17" s="459">
        <f>IF(ISNUMBER((Datos!M17-Datos!W17)/Datos!W17),(Datos!M17-Datos!W17)/Datos!W17," - ")</f>
        <v>0</v>
      </c>
      <c r="G17" s="460">
        <f>IF(ISNUMBER((Datos!N17-Datos!X17)/Datos!X17),(Datos!N17-Datos!X17)/Datos!X17," - ")</f>
        <v>0.4</v>
      </c>
      <c r="H17" s="458">
        <f>IF(ISNUMBER(((NºAsuntos!G17/NºAsuntos!E17)-Datos!BD17)/Datos!BD17),((NºAsuntos!G17/NºAsuntos!E17)-Datos!BD17)/Datos!BD17," - ")</f>
        <v>-0.1428571428571429</v>
      </c>
      <c r="I17" s="459">
        <f>IF(ISNUMBER(((NºAsuntos!I17/NºAsuntos!G17)-Datos!BE17)/Datos!BE17),((NºAsuntos!I17/NºAsuntos!G17)-Datos!BE17)/Datos!BE17," - ")</f>
        <v>-0.34374999999999994</v>
      </c>
      <c r="J17" s="464">
        <f>IF(ISNUMBER((('Resol  Asuntos'!D17/NºAsuntos!G17)-Datos!BF17)/Datos!BF17),(('Resol  Asuntos'!D17/NºAsuntos!G17)-Datos!BF17)/Datos!BF17," - ")</f>
        <v>-0.41666666666666669</v>
      </c>
      <c r="K17" s="465">
        <f>IF(ISNUMBER((((NºAsuntos!C17+NºAsuntos!E17)/NºAsuntos!G17)-Datos!BG17)/Datos!BG17),(((NºAsuntos!C17+NºAsuntos!E17)/NºAsuntos!G17)-Datos!BG17)/Datos!BG17," - ")</f>
        <v>-0.18333333333333332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-8.771929824561403E-2</v>
      </c>
      <c r="C18" s="858">
        <f>IF(ISNUMBER(
   IF(Criterios!B14="SI",(Datos!J18-Datos!T18)/Datos!T18,(Datos!J18+Datos!AD18-(Datos!T18+Datos!AL18))/(Datos!T18+Datos!AL18))
     ),IF(Criterios!B14="SI",(Datos!J18-Datos!T18)/Datos!T18,(Datos!J18+Datos!AD18-(Datos!T18+Datos!AL18))/(Datos!T18+Datos!AL18))," - ")</f>
        <v>-0.14093959731543623</v>
      </c>
      <c r="D18" s="858">
        <f>IF(ISNUMBER(
   IF(Criterios!B14="SI",(Datos!K18-Datos!U18)/Datos!U18,(Datos!K18+Datos!AE18-(Datos!U18+Datos!AM18))/(Datos!U18+Datos!AM18))
     ),IF(Criterios!B14="SI",(Datos!K18-Datos!U18)/Datos!U18,(Datos!K18+Datos!AE18-(Datos!U18+Datos!AM18))/(Datos!U18+Datos!AM18))," - ")</f>
        <v>-0.11949685534591195</v>
      </c>
      <c r="E18" s="858">
        <f>IF(ISNUMBER(
   IF(Criterios!B14="SI",(Datos!L18-Datos!V18)/Datos!V18,(Datos!L18+Datos!AF18-(Datos!V18+Datos!AN18))/(Datos!V18+Datos!AN18))
     ),IF(Criterios!B14="SI",(Datos!L18-Datos!V18)/Datos!V18,(Datos!L18+Datos!AF18-(Datos!V18+Datos!AN18))/(Datos!V18+Datos!AN18))," - ")</f>
        <v>-0.11538461538461539</v>
      </c>
      <c r="F18" s="859">
        <f>IF(ISNUMBER((Datos!M18-Datos!W18)/Datos!W18),(Datos!M18-Datos!W18)/Datos!W18," - ")</f>
        <v>-0.47368421052631576</v>
      </c>
      <c r="G18" s="860">
        <f>IF(ISNUMBER((Datos!N18-Datos!X18)/Datos!X18),(Datos!N18-Datos!X18)/Datos!X18," - ")</f>
        <v>1.0752688172043012E-2</v>
      </c>
      <c r="H18" s="860">
        <f>IF(ISNUMBER(((NºAsuntos!G18/NºAsuntos!E18)-Datos!BD18)/Datos!BD18),((NºAsuntos!G18/NºAsuntos!E18)-Datos!BD18)/Datos!BD18," - ")</f>
        <v>2.4960691823899463E-2</v>
      </c>
      <c r="I18" s="860">
        <f>IF(ISNUMBER(((NºAsuntos!I18/NºAsuntos!G18)-Datos!BE18)/Datos!BE18),((NºAsuntos!I18/NºAsuntos!G18)-Datos!BE18)/Datos!BE18," - ")</f>
        <v>4.6703296703297179E-3</v>
      </c>
      <c r="J18" s="860">
        <f>IF(ISNUMBER((('Resol  Asuntos'!D18/NºAsuntos!G18)-Datos!BF18)/Datos!BF18),(('Resol  Asuntos'!D18/NºAsuntos!G18)-Datos!BF18)/Datos!BF18," - ")</f>
        <v>-0.40225563909774442</v>
      </c>
      <c r="K18" s="860">
        <f>IF(ISNUMBER((((NºAsuntos!C18+NºAsuntos!E18)/NºAsuntos!G18)-Datos!BG18)/Datos!BG18),(((NºAsuntos!C18+NºAsuntos!E18)/NºAsuntos!G18)-Datos!BG18)/Datos!BG18," - ")</f>
        <v>1.8468223791417895E-3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0.23571428571428571</v>
      </c>
      <c r="C19" s="805">
        <f>IF(ISNUMBER(
   IF(J_V="SI",(Datos!J19-Datos!T19)/Datos!T19,(Datos!J19+Datos!Z19-(Datos!T19+Datos!AH19))/(Datos!T19+Datos!AH19))
     ),IF(J_V="SI",(Datos!J19-Datos!T19)/Datos!T19,(Datos!J19+Datos!Z19-(Datos!T19+Datos!AH19))/(Datos!T19+Datos!AH19))," - ")</f>
        <v>-2.7888446215139442E-2</v>
      </c>
      <c r="D19" s="805">
        <f>IF(ISNUMBER(
   IF(J_V="SI",(Datos!K19-Datos!U19)/Datos!U19,(Datos!K19+Datos!AA19-(Datos!U19+Datos!AI19))/(Datos!U19+Datos!AI19))
     ),IF(J_V="SI",(Datos!K19-Datos!U19)/Datos!U19,(Datos!K19+Datos!AA19-(Datos!U19+Datos!AI19))/(Datos!U19+Datos!AI19))," - ")</f>
        <v>0.17136150234741784</v>
      </c>
      <c r="E19" s="805">
        <f>IF(ISNUMBER(
   IF(J_V="SI",(Datos!L19-Datos!V19)/Datos!V19,(Datos!L19+Datos!AB19-(Datos!V19+Datos!AJ19))/(Datos!V19+Datos!AJ19))
     ),IF(J_V="SI",(Datos!L19-Datos!V19)/Datos!V19,(Datos!L19+Datos!AB19-(Datos!V19+Datos!AJ19))/(Datos!V19+Datos!AJ19))," - ")</f>
        <v>6.1702127659574467E-2</v>
      </c>
      <c r="F19" s="806">
        <f>IF(ISNUMBER((Datos!M19-Datos!W19)/Datos!W19),(Datos!M19-Datos!W19)/Datos!W19," - ")</f>
        <v>7.1999999999999995E-2</v>
      </c>
      <c r="G19" s="807">
        <f>IF(ISNUMBER((Datos!N19-Datos!X19)/Datos!X19),(Datos!N19-Datos!X19)/Datos!X19," - ")</f>
        <v>6.8181818181818177E-2</v>
      </c>
      <c r="H19" s="808">
        <f>IF(ISNUMBER((Tasas!B19-Datos!BD19)/Datos!BD19),(Tasas!B19-Datos!BD19)/Datos!BD19," - ")</f>
        <v>0.204966135611483</v>
      </c>
      <c r="I19" s="809">
        <f>IF(ISNUMBER((Tasas!C19-Datos!BE19)/Datos!BE19),(Tasas!C19-Datos!BE19)/Datos!BE19," - ")</f>
        <v>-9.3617021276595686E-2</v>
      </c>
      <c r="J19" s="810">
        <f>IF(ISNUMBER((Tasas!D19-Datos!BF19)/Datos!BF19),(Tasas!D19-Datos!BF19)/Datos!BF19," - ")</f>
        <v>-6.2321364039554634E-2</v>
      </c>
      <c r="K19" s="810">
        <f>IF(ISNUMBER((Tasas!E19-Datos!BG19)/Datos!BG19),(Tasas!E19-Datos!BG19)/Datos!BG19," - ")</f>
        <v>-6.7588539334634476E-2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XSBTcnMWhS8ZLOoqQRXy1aoQmf4ExEMK+lVe4l304WhjYp9NMEKqG1YXS+5hdnG8Ka225YNQ+ltXueXpVDGw==" saltValue="XHcLnexfDge9JCkxnc17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A ESTRADA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2.5</v>
      </c>
      <c r="D10" s="447">
        <f>IF(ISNUMBER('Resol  Asuntos'!D10/NºAsuntos!G10),'Resol  Asuntos'!D10/NºAsuntos!G10," - ")</f>
        <v>1</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v>
      </c>
      <c r="C12" s="446">
        <f>IF(ISNUMBER(NºAsuntos!I12/NºAsuntos!G12),NºAsuntos!I12/NºAsuntos!G12," - ")</f>
        <v>1.1260504201680672</v>
      </c>
      <c r="D12" s="447">
        <f>IF(ISNUMBER('Resol  Asuntos'!D12/NºAsuntos!G12),'Resol  Asuntos'!D12/NºAsuntos!G12," - ")</f>
        <v>0.31372549019607843</v>
      </c>
      <c r="E12" s="448">
        <f>IF(ISNUMBER((NºAsuntos!C12+NºAsuntos!E12)/NºAsuntos!G12),(NºAsuntos!C12+NºAsuntos!E12)/NºAsuntos!G12," - ")</f>
        <v>2.1512605042016806</v>
      </c>
      <c r="G12" s="466"/>
    </row>
    <row r="13" spans="1:7" ht="14.25" thickTop="1" thickBot="1">
      <c r="A13" s="851" t="str">
        <f>Datos!A13</f>
        <v>TOTAL</v>
      </c>
      <c r="B13" s="861">
        <f>IF(ISNUMBER(NºAsuntos!G13/NºAsuntos!E13),NºAsuntos!G13/NºAsuntos!E13," - ")</f>
        <v>0.99722222222222223</v>
      </c>
      <c r="C13" s="862">
        <f>IF(ISNUMBER(NºAsuntos!I13/NºAsuntos!G13),NºAsuntos!I13/NºAsuntos!G13," - ")</f>
        <v>1.1337047353760445</v>
      </c>
      <c r="D13" s="863">
        <f>IF(ISNUMBER('Resol  Asuntos'!D13/NºAsuntos!G13),'Resol  Asuntos'!D13/NºAsuntos!G13," - ")</f>
        <v>0.31754874651810583</v>
      </c>
      <c r="E13" s="864">
        <f>IF(ISNUMBER((NºAsuntos!C13+NºAsuntos!E13)/NºAsuntos!G13),(NºAsuntos!C13+NºAsuntos!E13)/NºAsuntos!G13," - ")</f>
        <v>2.1587743732590527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1.103448275862069</v>
      </c>
      <c r="C16" s="446">
        <f>IF(ISNUMBER(NºAsuntos!I16/NºAsuntos!G16),NºAsuntos!I16/NºAsuntos!G16," - ")</f>
        <v>0.6484375</v>
      </c>
      <c r="D16" s="447">
        <f>IF(ISNUMBER('Resol  Asuntos'!D16/NºAsuntos!G16),'Resol  Asuntos'!D16/NºAsuntos!G16," - ")</f>
        <v>0.1484375</v>
      </c>
      <c r="E16" s="448">
        <f>IF(ISNUMBER((NºAsuntos!C16+NºAsuntos!E16)/NºAsuntos!G16),(NºAsuntos!C16+NºAsuntos!E16)/NºAsuntos!G16," - ")</f>
        <v>1.6484375</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0.75</v>
      </c>
      <c r="D17" s="447">
        <f>IF(ISNUMBER('Resol  Asuntos'!D17/NºAsuntos!G17),'Resol  Asuntos'!D17/NºAsuntos!G17," - ")</f>
        <v>8.3333333333333329E-2</v>
      </c>
      <c r="E17" s="448">
        <f>IF(ISNUMBER((NºAsuntos!C17+NºAsuntos!E17)/NºAsuntos!G17),(NºAsuntos!C17+NºAsuntos!E17)/NºAsuntos!G17," - ")</f>
        <v>1.75</v>
      </c>
      <c r="G17" s="466"/>
    </row>
    <row r="18" spans="1:7" ht="14.25" thickTop="1" thickBot="1">
      <c r="A18" s="851" t="str">
        <f>Datos!A18</f>
        <v>TOTAL</v>
      </c>
      <c r="B18" s="861">
        <f>IF(ISNUMBER(NºAsuntos!G18/NºAsuntos!E18),NºAsuntos!G18/NºAsuntos!E18," - ")</f>
        <v>1.09375</v>
      </c>
      <c r="C18" s="862">
        <f>IF(ISNUMBER(NºAsuntos!I18/NºAsuntos!G18),NºAsuntos!I18/NºAsuntos!G18," - ")</f>
        <v>0.65714285714285714</v>
      </c>
      <c r="D18" s="865">
        <f>IF(ISNUMBER('Resol  Asuntos'!D18/NºAsuntos!G18),'Resol  Asuntos'!D18/NºAsuntos!G18," - ")</f>
        <v>0.14285714285714285</v>
      </c>
      <c r="E18" s="864">
        <f>IF(ISNUMBER((NºAsuntos!C18+NºAsuntos!E18)/NºAsuntos!G18),(NºAsuntos!C18+NºAsuntos!E18)/NºAsuntos!G18," - ")</f>
        <v>1.6571428571428573</v>
      </c>
      <c r="G18" s="466"/>
    </row>
    <row r="19" spans="1:7" ht="15.75" customHeight="1" thickTop="1" thickBot="1">
      <c r="A19" s="796" t="str">
        <f>Datos!A19</f>
        <v>TOTAL JURISDICCIONES</v>
      </c>
      <c r="B19" s="811">
        <f>IF(ISNUMBER(NºAsuntos!G19/NºAsuntos!E19),NºAsuntos!G19/NºAsuntos!E19," - ")</f>
        <v>1.0225409836065573</v>
      </c>
      <c r="C19" s="812">
        <f>IF(ISNUMBER(NºAsuntos!I19/NºAsuntos!G19),NºAsuntos!I19/NºAsuntos!G19," - ")</f>
        <v>1</v>
      </c>
      <c r="D19" s="813">
        <f>IF(ISNUMBER('Resol  Asuntos'!D19/NºAsuntos!G19),'Resol  Asuntos'!D19/NºAsuntos!G19," - ")</f>
        <v>0.26853707414829658</v>
      </c>
      <c r="E19" s="814">
        <f>IF(ISNUMBER((NºAsuntos!C19+NºAsuntos!E19)/NºAsuntos!G19),(NºAsuntos!C19+NºAsuntos!E19)/NºAsuntos!G19," - ")</f>
        <v>2.0180360721442887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NU1kajpWfURk/qyFHtYEetuvGMDLOCrE37/7FEYq5X6leB7cUG6x9uAHQyEdH2EBVtCZcrOZf4tq2hAn6wyTQ==" saltValue="uHZ/eUtdno3CtWPNUl7g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A ESTRADA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2</v>
      </c>
      <c r="Y10" s="337">
        <f t="shared" ref="Y10:Y12" si="0">SUM(W10:X10)</f>
        <v>4</v>
      </c>
      <c r="Z10" s="338" t="str">
        <f>IF(ISNUMBER(Datos!CC10),Datos!CC10," - ")</f>
        <v xml:space="preserve"> - </v>
      </c>
      <c r="AA10" s="335">
        <f>IF(ISNUMBER(Datos!L10),Datos!L10,"-")</f>
        <v>5</v>
      </c>
      <c r="AB10" s="337">
        <f>IF(ISNUMBER(Datos!R10),Datos!R10," - ")</f>
        <v>5</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7.5</v>
      </c>
      <c r="AN10" s="247">
        <f>IF(ISNUMBER('Resol  Asuntos'!D10/NºAsuntos!G10),'Resol  Asuntos'!D10/NºAsuntos!G10," - ")</f>
        <v>1</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64</v>
      </c>
      <c r="Y12" s="337">
        <f t="shared" si="0"/>
        <v>64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847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112</v>
      </c>
      <c r="AJ12" s="232" t="str">
        <f>IF(ISNUMBER(Datos!BW12),Datos!BW12," - ")</f>
        <v xml:space="preserve"> - </v>
      </c>
      <c r="AK12" s="231" t="str">
        <f>IF(ISNUMBER(Datos!BX12),Datos!BX12," - ")</f>
        <v xml:space="preserve"> - </v>
      </c>
      <c r="AL12" s="246">
        <f>IF(ISNUMBER(NºAsuntos!G12/NºAsuntos!E12),NºAsuntos!G12/NºAsuntos!E12," - ")</f>
        <v>1</v>
      </c>
      <c r="AM12" s="263">
        <f>IF(ISNUMBER(((NºAsuntos!I12/NºAsuntos!G12)*11)/factor_trimestre),((NºAsuntos!I12/NºAsuntos!G12)*11)/factor_trimestre," - ")</f>
        <v>3.3781512605042021</v>
      </c>
      <c r="AN12" s="247">
        <f>IF(ISNUMBER('Resol  Asuntos'!D12/NºAsuntos!G12),'Resol  Asuntos'!D12/NºAsuntos!G12," - ")</f>
        <v>0.31372549019607843</v>
      </c>
      <c r="AO12" s="248">
        <f>IF(ISNUMBER((NºAsuntos!C12+NºAsuntos!E12)/NºAsuntos!G12),(NºAsuntos!C12+NºAsuntos!E12)/NºAsuntos!G12," - ")</f>
        <v>2.1512605042016806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66</v>
      </c>
      <c r="Y13" s="871">
        <f t="shared" si="4"/>
        <v>68</v>
      </c>
      <c r="Z13" s="871">
        <f t="shared" si="4"/>
        <v>0</v>
      </c>
      <c r="AA13" s="871">
        <f t="shared" si="4"/>
        <v>5</v>
      </c>
      <c r="AB13" s="871">
        <f t="shared" si="4"/>
        <v>852</v>
      </c>
      <c r="AC13" s="871">
        <f t="shared" si="4"/>
        <v>10</v>
      </c>
      <c r="AD13" s="871">
        <f t="shared" si="4"/>
        <v>0</v>
      </c>
      <c r="AE13" s="875">
        <f t="shared" si="4"/>
        <v>0</v>
      </c>
      <c r="AF13" s="868">
        <f t="shared" si="4"/>
        <v>0</v>
      </c>
      <c r="AG13" s="876">
        <f t="shared" si="4"/>
        <v>0</v>
      </c>
      <c r="AH13" s="873">
        <f t="shared" si="4"/>
        <v>0</v>
      </c>
      <c r="AI13" s="868">
        <f t="shared" si="4"/>
        <v>114</v>
      </c>
      <c r="AJ13" s="870">
        <f t="shared" si="4"/>
        <v>0</v>
      </c>
      <c r="AK13" s="873">
        <f>SUBTOTAL(9,AK9:AK12)</f>
        <v>0</v>
      </c>
      <c r="AL13" s="877">
        <f>IF(ISNUMBER(NºAsuntos!G13/NºAsuntos!E13),NºAsuntos!G13/NºAsuntos!E13," - ")</f>
        <v>0.99722222222222223</v>
      </c>
      <c r="AM13" s="877">
        <f>IF(ISNUMBER(((NºAsuntos!I13/NºAsuntos!G13)*11)/factor_trimestre),((NºAsuntos!I13/NºAsuntos!G13)*11)/factor_trimestre," - ")</f>
        <v>3.4011142061281334</v>
      </c>
      <c r="AN13" s="878">
        <f>IF(ISNUMBER('Resol  Asuntos'!D13/NºAsuntos!G13),'Resol  Asuntos'!D13/NºAsuntos!G13," - ")</f>
        <v>0.31754874651810583</v>
      </c>
      <c r="AO13" s="879">
        <f>IF(ISNUMBER((NºAsuntos!C13+NºAsuntos!E13)/NºAsuntos!G13),(NºAsuntos!C13+NºAsuntos!E13)/NºAsuntos!G13," - ")</f>
        <v>2.1587743732590527</v>
      </c>
      <c r="AP13" s="880" t="str">
        <f t="shared" si="2"/>
        <v xml:space="preserve"> - </v>
      </c>
      <c r="AQ13" s="880">
        <f>IF(ISNUMBER((H13-W13+K13)/(F13)),(H13-W13+K13)/(F13)," - ")</f>
        <v>-0.5</v>
      </c>
      <c r="AR13" s="881">
        <f>IF(ISNUMBER((Datos!P13-Datos!Q13)/(Datos!R13-Datos!P13+Datos!Q13)),(Datos!P13-Datos!Q13)/(Datos!R13-Datos!P13+Datos!Q13)," - ")</f>
        <v>-9.3023255813953487E-3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95</v>
      </c>
      <c r="G16" s="336">
        <f>IF(ISNUMBER(IF(D_I="SI",Datos!I16,Datos!I16+Datos!AC16)),IF(D_I="SI",Datos!I16,Datos!I16+Datos!AC16)," - ")</f>
        <v>95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128</v>
      </c>
      <c r="X16" s="229">
        <f>IF(ISNUMBER(Datos!Q16),Datos!Q16," - ")</f>
        <v>3</v>
      </c>
      <c r="Y16" s="337">
        <f t="shared" ref="Y16:Y17" si="7">SUM(W16:X16)</f>
        <v>131</v>
      </c>
      <c r="Z16" s="338" t="str">
        <f>IF(ISNUMBER(Datos!CC16),Datos!CC16," - ")</f>
        <v xml:space="preserve"> - </v>
      </c>
      <c r="AA16" s="335">
        <f>IF(ISNUMBER(IF(D_I="SI",Datos!L16,Datos!L16+Datos!AF16)),IF(D_I="SI",Datos!L16,Datos!L16+Datos!AF16)," - ")</f>
        <v>83</v>
      </c>
      <c r="AB16" s="337">
        <f>IF(ISNUMBER(Datos!R16),Datos!R16," - ")</f>
        <v>15</v>
      </c>
      <c r="AC16" s="337">
        <f t="shared" si="6"/>
        <v>98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v>
      </c>
      <c r="AJ16" s="234" t="str">
        <f>IF(ISNUMBER(Datos!BW16),Datos!BW16," - ")</f>
        <v xml:space="preserve"> - </v>
      </c>
      <c r="AK16" s="235" t="str">
        <f>IF(ISNUMBER(Datos!BX16),Datos!BX16," - ")</f>
        <v xml:space="preserve"> - </v>
      </c>
      <c r="AL16" s="246">
        <f>IF(ISNUMBER(NºAsuntos!G16/NºAsuntos!E16),NºAsuntos!G16/NºAsuntos!E16," - ")</f>
        <v>1.103448275862069</v>
      </c>
      <c r="AM16" s="263">
        <f>IF(ISNUMBER(((NºAsuntos!I16/NºAsuntos!G16)*11)/factor_trimestre),((NºAsuntos!I16/NºAsuntos!G16)*11)/factor_trimestre," - ")</f>
        <v>1.9453125</v>
      </c>
      <c r="AN16" s="247">
        <f>IF(ISNUMBER('Resol  Asuntos'!D16/NºAsuntos!G16),'Resol  Asuntos'!D16/NºAsuntos!G16," - ")</f>
        <v>0.1484375</v>
      </c>
      <c r="AO16" s="248">
        <f>IF(ISNUMBER((NºAsuntos!C16+NºAsuntos!E16)/NºAsuntos!G16),(NºAsuntos!C16+NºAsuntos!E16)/NºAsuntos!G16," - ")</f>
        <v>1.6484375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v>
      </c>
      <c r="X17" s="229">
        <f>IF(ISNUMBER(Datos!Q17),Datos!Q17," - ")</f>
        <v>0</v>
      </c>
      <c r="Y17" s="337">
        <f t="shared" si="7"/>
        <v>12</v>
      </c>
      <c r="Z17" s="338" t="str">
        <f>IF(ISNUMBER(Datos!CC17),Datos!CC17," - ")</f>
        <v xml:space="preserve"> - </v>
      </c>
      <c r="AA17" s="335">
        <f>IF(ISNUMBER(Datos!L17),Datos!L17,"-")</f>
        <v>9</v>
      </c>
      <c r="AB17" s="337">
        <f>IF(ISNUMBER(Datos!R17),Datos!R17," - ")</f>
        <v>0</v>
      </c>
      <c r="AC17" s="337">
        <f t="shared" si="6"/>
        <v>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2.25</v>
      </c>
      <c r="AN17" s="247">
        <f>IF(ISNUMBER('Resol  Asuntos'!D17/NºAsuntos!G17),'Resol  Asuntos'!D17/NºAsuntos!G17," - ")</f>
        <v>8.3333333333333329E-2</v>
      </c>
      <c r="AO17" s="248">
        <f>IF(ISNUMBER((NºAsuntos!C17+NºAsuntos!E17)/NºAsuntos!G17),(NºAsuntos!C17+NºAsuntos!E17)/NºAsuntos!G17," - ")</f>
        <v>1.75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95</v>
      </c>
      <c r="G18" s="869">
        <f>SUBTOTAL(9,G15:G17)</f>
        <v>104</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140</v>
      </c>
      <c r="X18" s="870">
        <f t="shared" si="11"/>
        <v>3</v>
      </c>
      <c r="Y18" s="871">
        <f t="shared" si="11"/>
        <v>143</v>
      </c>
      <c r="Z18" s="871">
        <f t="shared" si="11"/>
        <v>0</v>
      </c>
      <c r="AA18" s="871">
        <f t="shared" si="11"/>
        <v>92</v>
      </c>
      <c r="AB18" s="871">
        <f t="shared" si="11"/>
        <v>15</v>
      </c>
      <c r="AC18" s="871">
        <f t="shared" si="11"/>
        <v>107</v>
      </c>
      <c r="AD18" s="871">
        <f t="shared" si="11"/>
        <v>0</v>
      </c>
      <c r="AE18" s="875">
        <f t="shared" si="11"/>
        <v>0</v>
      </c>
      <c r="AF18" s="868">
        <f t="shared" si="11"/>
        <v>0</v>
      </c>
      <c r="AG18" s="876">
        <f t="shared" si="11"/>
        <v>0</v>
      </c>
      <c r="AH18" s="873">
        <f t="shared" si="11"/>
        <v>0</v>
      </c>
      <c r="AI18" s="868">
        <f t="shared" si="11"/>
        <v>20</v>
      </c>
      <c r="AJ18" s="870">
        <f t="shared" si="11"/>
        <v>0</v>
      </c>
      <c r="AK18" s="873">
        <f t="shared" si="11"/>
        <v>0</v>
      </c>
      <c r="AL18" s="877">
        <f>IF(ISNUMBER(NºAsuntos!G18/NºAsuntos!E18),NºAsuntos!G18/NºAsuntos!E18," - ")</f>
        <v>1.09375</v>
      </c>
      <c r="AM18" s="877">
        <f>IF(ISNUMBER(((NºAsuntos!I18/NºAsuntos!G18)*11)/factor_trimestre),((NºAsuntos!I18/NºAsuntos!G18)*11)/factor_trimestre," - ")</f>
        <v>1.9714285714285715</v>
      </c>
      <c r="AN18" s="878">
        <f>IF(ISNUMBER('Resol  Asuntos'!D18/NºAsuntos!G18),'Resol  Asuntos'!D18/NºAsuntos!G18," - ")</f>
        <v>0.14285714285714285</v>
      </c>
      <c r="AO18" s="879">
        <f>IF(ISNUMBER((NºAsuntos!C18+NºAsuntos!E18)/NºAsuntos!G18),(NºAsuntos!C18+NºAsuntos!E18)/NºAsuntos!G18," - ")</f>
        <v>1.6571428571428573</v>
      </c>
      <c r="AP18" s="880" t="str">
        <f t="shared" si="2"/>
        <v xml:space="preserve"> - </v>
      </c>
      <c r="AQ18" s="880">
        <f>IF(ISNUMBER((H18-W18+K18)/(F18)),(H18-W18+K18)/(F18)," - ")</f>
        <v>-1.4736842105263157</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99</v>
      </c>
      <c r="G19" s="824">
        <f t="shared" si="13"/>
        <v>108</v>
      </c>
      <c r="H19" s="823">
        <f t="shared" si="13"/>
        <v>0</v>
      </c>
      <c r="I19" s="825">
        <f t="shared" si="13"/>
        <v>0</v>
      </c>
      <c r="J19" s="825">
        <f t="shared" si="13"/>
        <v>0</v>
      </c>
      <c r="K19" s="884">
        <f t="shared" si="13"/>
        <v>0</v>
      </c>
      <c r="L19" s="825">
        <f t="shared" si="13"/>
        <v>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142</v>
      </c>
      <c r="X19" s="824">
        <f t="shared" si="14"/>
        <v>69</v>
      </c>
      <c r="Y19" s="831">
        <f t="shared" si="14"/>
        <v>211</v>
      </c>
      <c r="Z19" s="831">
        <f t="shared" si="14"/>
        <v>0</v>
      </c>
      <c r="AA19" s="831">
        <f t="shared" si="14"/>
        <v>97</v>
      </c>
      <c r="AB19" s="831">
        <f t="shared" si="14"/>
        <v>867</v>
      </c>
      <c r="AC19" s="831">
        <f t="shared" si="14"/>
        <v>117</v>
      </c>
      <c r="AD19" s="831">
        <f t="shared" si="14"/>
        <v>0</v>
      </c>
      <c r="AE19" s="833">
        <f t="shared" si="14"/>
        <v>0</v>
      </c>
      <c r="AF19" s="834">
        <f t="shared" si="14"/>
        <v>0</v>
      </c>
      <c r="AG19" s="835">
        <f t="shared" si="14"/>
        <v>0</v>
      </c>
      <c r="AH19" s="833">
        <f t="shared" si="14"/>
        <v>0</v>
      </c>
      <c r="AI19" s="823">
        <f t="shared" si="14"/>
        <v>134</v>
      </c>
      <c r="AJ19" s="823">
        <f t="shared" si="14"/>
        <v>0</v>
      </c>
      <c r="AK19" s="833">
        <f t="shared" si="14"/>
        <v>0</v>
      </c>
      <c r="AL19" s="887">
        <f>IF(ISNUMBER(NºAsuntos!G19/NºAsuntos!E19),NºAsuntos!G19/NºAsuntos!E19," - ")</f>
        <v>1.0225409836065573</v>
      </c>
      <c r="AM19" s="888">
        <f>IF(ISNUMBER(((NºAsuntos!I19/NºAsuntos!G19)*11)/factor_trimestre),((NºAsuntos!I19/NºAsuntos!G19)*11)/factor_trimestre," - ")</f>
        <v>3</v>
      </c>
      <c r="AN19" s="888">
        <f>IF(ISNUMBER('Resol  Asuntos'!D19/NºAsuntos!G19),'Resol  Asuntos'!D19/NºAsuntos!G19," - ")</f>
        <v>0.26853707414829658</v>
      </c>
      <c r="AO19" s="889">
        <f>IF(ISNUMBER((NºAsuntos!C19+NºAsuntos!E19)/NºAsuntos!G19),(NºAsuntos!C19+NºAsuntos!E19)/NºAsuntos!G19," - ")</f>
        <v>2.0180360721442887</v>
      </c>
      <c r="AP19" s="890" t="str">
        <f t="shared" si="2"/>
        <v xml:space="preserve"> - </v>
      </c>
      <c r="AQ19" s="891">
        <f>IF(OR(ISNUMBER(FIND("01",Criterios!A8,1)),ISNUMBER(FIND("02",Criterios!A8,1)),ISNUMBER(FIND("03",Criterios!A8,1)),ISNUMBER(FIND("04",Criterios!A8,1))),(I19-W19+K19)/(F19-K19),(H19-W19+K19)/(F19-K19))</f>
        <v>-1.4343434343434343</v>
      </c>
      <c r="AR19" s="892">
        <f>IF(ISNUMBER((Datos!P19-Datos!Q19)/(Datos!R19-Datos!P19+Datos!Q19)),(Datos!P19-Datos!Q19)/(Datos!R19-Datos!P19+Datos!Q19)," - ")</f>
        <v>-5.7339449541284407E-3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52.538874496255943</v>
      </c>
      <c r="G21" s="256">
        <f>IF(ISNUMBER(STDEV(G8:G18)),STDEV(G8:G18),"-")</f>
        <v>51.533484260236079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70.719162890973195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53.544996653904711</v>
      </c>
      <c r="AJ21" s="255">
        <f t="shared" si="18"/>
        <v>0</v>
      </c>
      <c r="AK21" s="257">
        <f t="shared" si="18"/>
        <v>0</v>
      </c>
      <c r="AL21" s="252">
        <f t="shared" si="18"/>
        <v>0.15962036595612855</v>
      </c>
      <c r="AM21" s="253">
        <f t="shared" si="18"/>
        <v>2.11137670211337</v>
      </c>
      <c r="AN21" s="253">
        <f t="shared" si="18"/>
        <v>0.34001173727996159</v>
      </c>
      <c r="AO21" s="254">
        <f t="shared" si="18"/>
        <v>0.70382592040266068</v>
      </c>
      <c r="AP21" s="294" t="str">
        <f t="shared" si="18"/>
        <v>-</v>
      </c>
      <c r="AQ21" s="295">
        <f t="shared" si="18"/>
        <v>0.68849870799742774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Ao26pjDdfaHlef88tpcEDRPKk8/wGZvyPA5Kz36FlcqKiJax7L+4zSMFJW+i4gW2DcWxg42XcZLYuIt1jkoGA==" saltValue="fr3odtFbyg4q/I2BT8En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A ESTRADA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v>
      </c>
      <c r="E10" s="351">
        <f>IF(ISNUMBER((Datos!J10-Datos!T10)/Datos!T10),(Datos!J10-Datos!T10)/Datos!T10," - ")</f>
        <v>2</v>
      </c>
      <c r="F10" s="351">
        <f>IF(ISNUMBER((Datos!K10-Datos!U10)/Datos!U10),(Datos!K10-Datos!U10)/Datos!U10," - ")</f>
        <v>1</v>
      </c>
      <c r="G10" s="352">
        <f>IF(ISNUMBER((Datos!L10-Datos!V10)/Datos!V10),(Datos!L10-Datos!V10)/Datos!V10," - ")</f>
        <v>0</v>
      </c>
      <c r="H10" s="233">
        <f>IF(ISNUMBER((Datos!M10-Datos!W10)/Datos!W10),(Datos!M10-Datos!W10)/Datos!W10," - ")</f>
        <v>1</v>
      </c>
      <c r="I10" s="353">
        <f>IF(ISNUMBER((Tasas!C10-Datos!BE10)/Datos!BE10),(Tasas!C10-Datos!BE10)/Datos!BE10," - ")</f>
        <v>-0.5</v>
      </c>
      <c r="J10" s="352">
        <f>IF(ISNUMBER((Tasas!D10-Datos!BF10)/Datos!BF10),(Tasas!D10-Datos!BF10)/Datos!BF10," - ")</f>
        <v>0</v>
      </c>
      <c r="K10" s="354">
        <f>IF(ISNUMBER((Tasas!E10-Datos!BG10)/Datos!BG10),(Tasas!E10-Datos!BG10)/Datos!BG10," - ")</f>
        <v>-0.41666666666666669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0.30232558139534882</v>
      </c>
      <c r="I12" s="353">
        <f>IF(ISNUMBER((Tasas!C12-Datos!BE12)/Datos!BE12),(Tasas!C12-Datos!BE12)/Datos!BE12," - ")</f>
        <v>-0.17027863777089788</v>
      </c>
      <c r="J12" s="352">
        <f>IF(ISNUMBER((Tasas!D12-Datos!BF12)/Datos!BF12),(Tasas!D12-Datos!BF12)/Datos!BF12," - ")</f>
        <v>5.4334987006850457E-3</v>
      </c>
      <c r="K12" s="354">
        <f>IF(ISNUMBER((Tasas!E12-Datos!BG12)/Datos!BG12),(Tasas!E12-Datos!BG12)/Datos!BG12," - ")</f>
        <v>-0.12368255112152066</v>
      </c>
      <c r="M12" t="e">
        <f>IF(Monitorios="SI",Datos!CE12,0)</f>
        <v>#REF!</v>
      </c>
      <c r="N12" t="e">
        <f>IF(Monitorios="SI",Datos!CF12,0)</f>
        <v>#REF!</v>
      </c>
      <c r="O12" t="e">
        <f>IF(Monitorios="SI",Datos!CG12,0)</f>
        <v>#REF!</v>
      </c>
      <c r="P12" t="e">
        <f>IF(Monitorios="SI",Datos!CH12,0)</f>
        <v>#REF!</v>
      </c>
      <c r="Q12">
        <f>IF(J_V="SI",0,Datos!AG12)</f>
        <v>23</v>
      </c>
      <c r="R12">
        <f>IF(J_V="SI",0,Datos!AH12)</f>
        <v>31</v>
      </c>
      <c r="S12">
        <f>IF(J_V="SI",0,Datos!AI12)</f>
        <v>33</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0.31034482758620691</v>
      </c>
      <c r="I13" s="360">
        <f>IF(ISNUMBER((Tasas!C13-Datos!BE13)/Datos!BE13),(Tasas!C13-Datos!BE13)/Datos!BE13," - ")</f>
        <v>-0.17295310288141014</v>
      </c>
      <c r="J13" s="358">
        <f>IF(ISNUMBER((Tasas!D13-Datos!BF13)/Datos!BF13),(Tasas!D13-Datos!BF13)/Datos!BF13," - ")</f>
        <v>9.3513728611221269E-3</v>
      </c>
      <c r="K13" s="361">
        <f>IF(ISNUMBER((Tasas!E13-Datos!BG13)/Datos!BG13),(Tasas!E13-Datos!BG13)/Datos!BG13," - ")</f>
        <v>-0.12535241629716681</v>
      </c>
      <c r="M13" t="e">
        <f>IF(Monitorios="SI",Datos!CE13,0)</f>
        <v>#REF!</v>
      </c>
      <c r="N13" t="e">
        <f>IF(Monitorios="SI",Datos!CF13,0)</f>
        <v>#REF!</v>
      </c>
      <c r="O13" t="e">
        <f>IF(Monitorios="SI",Datos!CG13,0)</f>
        <v>#REF!</v>
      </c>
      <c r="P13" t="e">
        <f>IF(Monitorios="SI",Datos!CH13,0)</f>
        <v>#REF!</v>
      </c>
      <c r="Q13">
        <f>IF(J_V="SI",0,Datos!AG13)</f>
        <v>23</v>
      </c>
      <c r="R13">
        <f>IF(J_V="SI",0,Datos!AH13)</f>
        <v>31</v>
      </c>
      <c r="S13">
        <f>IF(J_V="SI",0,Datos!AI13)</f>
        <v>33</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-9.5238095238095233E-2</v>
      </c>
      <c r="E16" s="351">
        <f>IF(ISNUMBER(
   IF(D_I="SI",(Datos!J16-Datos!T16)/Datos!T16,(Datos!J16+Datos!AD16-(Datos!T16+Datos!AL16))/(Datos!T16+Datos!AL16))
     ),IF(D_I="SI",(Datos!J16-Datos!T16)/Datos!T16,(Datos!J16+Datos!AD16-(Datos!T16+Datos!AL16))/(Datos!T16+Datos!AL16))," - ")</f>
        <v>-0.1888111888111888</v>
      </c>
      <c r="F16" s="351">
        <f>IF(ISNUMBER(
   IF(D_I="SI",(Datos!K16-Datos!U16)/Datos!U16,(Datos!K16+Datos!AE16-(Datos!U16+Datos!AM16))/(Datos!U16+Datos!AM16))
     ),IF(D_I="SI",(Datos!K16-Datos!U16)/Datos!U16,(Datos!K16+Datos!AE16-(Datos!U16+Datos!AM16))/(Datos!U16+Datos!AM16))," - ")</f>
        <v>-0.15789473684210525</v>
      </c>
      <c r="G16" s="352">
        <f>IF(ISNUMBER(
   IF(D_I="SI",(Datos!L16-Datos!V16)/Datos!V16,(Datos!L16+Datos!AF16-(Datos!V16+Datos!AN16))/(Datos!V16+Datos!AN16))
     ),IF(D_I="SI",(Datos!L16-Datos!V16)/Datos!V16,(Datos!L16+Datos!AF16-(Datos!V16+Datos!AN16))/(Datos!V16+Datos!AN16))," - ")</f>
        <v>-0.13541666666666666</v>
      </c>
      <c r="H16" s="233">
        <f>IF(ISNUMBER((Datos!M16-Datos!W16)/Datos!W16),(Datos!M16-Datos!W16)/Datos!W16," - ")</f>
        <v>-0.48648648648648651</v>
      </c>
      <c r="I16" s="353">
        <f>IF(ISNUMBER((Tasas!C16-Datos!BE16)/Datos!BE16),(Tasas!C16-Datos!BE16)/Datos!BE16," - ")</f>
        <v>2.6692708333333391E-2</v>
      </c>
      <c r="J16" s="352">
        <f>IF(ISNUMBER((Tasas!D16-Datos!BF16)/Datos!BF16),(Tasas!D16-Datos!BF16)/Datos!BF16," - ")</f>
        <v>-0.39020270270270274</v>
      </c>
      <c r="K16" s="354">
        <f>IF(ISNUMBER((Tasas!E16-Datos!BG16)/Datos!BG16),(Tasas!E16-Datos!BG16)/Datos!BG16," - ")</f>
        <v>1.0332661290322603E-2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0.7142857142857143</v>
      </c>
      <c r="G17" s="352">
        <f>IF(ISNUMBER(
   IF(D_I="SI",(Datos!L17-Datos!V17)/Datos!V17,(Datos!L17+Datos!AF17-(Datos!V17+Datos!AN17))/(Datos!V17+Datos!AN17))
     ),IF(D_I="SI",(Datos!L17-Datos!V17)/Datos!V17,(Datos!L17+Datos!AF17-(Datos!V17+Datos!AN17))/(Datos!V17+Datos!AN17))," - ")</f>
        <v>0.125</v>
      </c>
      <c r="H17" s="233">
        <f>IF(ISNUMBER((Datos!M17-Datos!W17)/Datos!W17),(Datos!M17-Datos!W17)/Datos!W17," - ")</f>
        <v>0</v>
      </c>
      <c r="I17" s="353">
        <f>IF(ISNUMBER((Tasas!C17-Datos!BE17)/Datos!BE17),(Tasas!C17-Datos!BE17)/Datos!BE17," - ")</f>
        <v>-0.34374999999999994</v>
      </c>
      <c r="J17" s="352">
        <f>IF(ISNUMBER((Tasas!D17-Datos!BF17)/Datos!BF17),(Tasas!D17-Datos!BF17)/Datos!BF17," - ")</f>
        <v>-0.41666666666666669</v>
      </c>
      <c r="K17" s="354">
        <f>IF(ISNUMBER((Tasas!E17-Datos!BG17)/Datos!BG17),(Tasas!E17-Datos!BG17)/Datos!BG17," - ")</f>
        <v>-0.18333333333333332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-8.771929824561403E-2</v>
      </c>
      <c r="E18" s="357">
        <f>IF(ISNUMBER(
   IF(D_I="SI",(Datos!J18-Datos!T18)/Datos!T18,(Datos!J18+Datos!AD18-(Datos!T18+Datos!AL18))/(Datos!T18+Datos!AL18))
     ),IF(D_I="SI",(Datos!J18-Datos!T18)/Datos!T18,(Datos!J18+Datos!AD18-(Datos!T18+Datos!AL18))/(Datos!T18+Datos!AL18))," - ")</f>
        <v>-0.14093959731543623</v>
      </c>
      <c r="F18" s="357">
        <f>IF(ISNUMBER(
   IF(D_I="SI",(Datos!K18-Datos!U18)/Datos!U18,(Datos!K18+Datos!AE18-(Datos!U18+Datos!AM18))/(Datos!U18+Datos!AM18))
     ),IF(D_I="SI",(Datos!K18-Datos!U18)/Datos!U18,(Datos!K18+Datos!AE18-(Datos!U18+Datos!AM18))/(Datos!U18+Datos!AM18))," - ")</f>
        <v>-0.11949685534591195</v>
      </c>
      <c r="G18" s="358">
        <f>IF(ISNUMBER(
   IF(D_I="SI",(Datos!L18-Datos!V18)/Datos!V18,(Datos!L18+Datos!AF18-(Datos!V18+Datos!AN18))/(Datos!V18+Datos!AN18))
     ),IF(D_I="SI",(Datos!L18-Datos!V18)/Datos!V18,(Datos!L18+Datos!AF18-(Datos!V18+Datos!AN18))/(Datos!V18+Datos!AN18))," - ")</f>
        <v>-0.11538461538461539</v>
      </c>
      <c r="H18" s="359">
        <f>IF(ISNUMBER((Datos!M18-Datos!W18)/Datos!W18),(Datos!M18-Datos!W18)/Datos!W18," - ")</f>
        <v>-0.47368421052631576</v>
      </c>
      <c r="I18" s="360">
        <f>IF(ISNUMBER((Tasas!C18-Datos!BE18)/Datos!BE18),(Tasas!C18-Datos!BE18)/Datos!BE18," - ")</f>
        <v>4.6703296703297179E-3</v>
      </c>
      <c r="J18" s="358">
        <f>IF(ISNUMBER((Tasas!D18-Datos!BF18)/Datos!BF18),(Tasas!D18-Datos!BF18)/Datos!BF18," - ")</f>
        <v>-0.40225563909774442</v>
      </c>
      <c r="K18" s="361">
        <f>IF(ISNUMBER((Tasas!E18-Datos!BG18)/Datos!BG18),(Tasas!E18-Datos!BG18)/Datos!BG18," - ")</f>
        <v>1.8468223791417895E-3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0.23571428571428571</v>
      </c>
      <c r="E19" s="366">
        <f>IF(ISNUMBER(
   IF(J_V="SI",(Datos!J19-Datos!T19)/Datos!T19,(Datos!J19+Datos!Z19-(Datos!T19+Datos!AH19))/(Datos!T19+Datos!AH19))
     ),IF(J_V="SI",(Datos!J19-Datos!T19)/Datos!T19,(Datos!J19+Datos!Z19-(Datos!T19+Datos!AH19))/(Datos!T19+Datos!AH19))," - ")</f>
        <v>-2.7888446215139442E-2</v>
      </c>
      <c r="F19" s="366">
        <f>IF(ISNUMBER(
   IF(J_V="SI",(Datos!K19-Datos!U19)/Datos!U19,(Datos!K19+Datos!AA19-(Datos!U19+Datos!AI19))/(Datos!U19+Datos!AI19))
     ),IF(J_V="SI",(Datos!K19-Datos!U19)/Datos!U19,(Datos!K19+Datos!AA19-(Datos!U19+Datos!AI19))/(Datos!U19+Datos!AI19))," - ")</f>
        <v>0.17136150234741784</v>
      </c>
      <c r="G19" s="367">
        <f>IF(ISNUMBER(
   IF(J_V="SI",(Datos!L19-Datos!V19)/Datos!V19,(Datos!L19+Datos!AB19-(Datos!V19+Datos!AJ19))/(Datos!V19+Datos!AJ19))
     ),IF(J_V="SI",(Datos!L19-Datos!V19)/Datos!V19,(Datos!L19+Datos!AB19-(Datos!V19+Datos!AJ19))/(Datos!V19+Datos!AJ19))," - ")</f>
        <v>6.1702127659574467E-2</v>
      </c>
      <c r="H19" s="368">
        <f>IF(ISNUMBER((Datos!M19-Datos!W19)/Datos!W19),(Datos!M19-Datos!W19)/Datos!W19," - ")</f>
        <v>7.1999999999999995E-2</v>
      </c>
      <c r="I19" s="365">
        <f>IF(ISNUMBER((Tasas!C19-Datos!BE19)/Datos!BE19),(Tasas!C19-Datos!BE19)/Datos!BE19," - ")</f>
        <v>-9.3617021276595686E-2</v>
      </c>
      <c r="J19" s="366">
        <f>IF(ISNUMBER((Tasas!D19-Datos!BF19)/Datos!BF19),(Tasas!D19-Datos!BF19)/Datos!BF19," - ")</f>
        <v>-6.2321364039554634E-2</v>
      </c>
      <c r="K19" s="367">
        <f>IF(ISNUMBER((Tasas!E19-Datos!BG19)/Datos!BG19),(Tasas!E19-Datos!BG19)/Datos!BG19," - ")</f>
        <v>-6.7588539334634476E-2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8.1855316999619024E-2</v>
      </c>
      <c r="E21" s="281">
        <f t="shared" si="1"/>
        <v>1.0445024204637483</v>
      </c>
      <c r="F21" s="281">
        <f t="shared" si="1"/>
        <v>0.58686970401243366</v>
      </c>
      <c r="G21" s="282">
        <f t="shared" si="1"/>
        <v>0.12016626320384904</v>
      </c>
      <c r="H21" s="288">
        <f t="shared" si="1"/>
        <v>0.56174748591484336</v>
      </c>
      <c r="I21" s="280">
        <f t="shared" si="1"/>
        <v>0.20259822364288488</v>
      </c>
      <c r="J21" s="281">
        <f t="shared" si="1"/>
        <v>0.22363114130440787</v>
      </c>
      <c r="K21" s="282">
        <f t="shared" si="1"/>
        <v>0.1559626975536593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GAx2WeSuXnrnQB1TICdOBJWgiAHWSOt+iQUnsgWvTkWH8ryMPdnj/axRBQ0gex2qVXrcz1yIzMyZEHtO0oSbA==" saltValue="p4UTCECYv0WgZHB7X+rI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